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5480" windowHeight="8475" activeTab="2"/>
  </bookViews>
  <sheets>
    <sheet name="Questions" sheetId="1" r:id="rId1"/>
    <sheet name="Wendler's 5-3-1" sheetId="2" r:id="rId2"/>
    <sheet name="Stats" sheetId="3" r:id="rId3"/>
    <sheet name="Save Log" sheetId="4" r:id="rId4"/>
  </sheets>
  <definedNames>
    <definedName name="BarWeight">'Questions'!$C$7</definedName>
    <definedName name="BBBPercentage">'Questions'!$C$11</definedName>
    <definedName name="DayFour">'Questions'!$R$11</definedName>
    <definedName name="DayOne">'Questions'!$R$8</definedName>
    <definedName name="DayThree">'Questions'!$R$10</definedName>
    <definedName name="DayTwo">'Questions'!$R$9</definedName>
    <definedName name="ExFour">'Questions'!$C$18</definedName>
    <definedName name="ExOne">'Questions'!$C$15</definedName>
    <definedName name="ExThree">'Questions'!$C$17</definedName>
    <definedName name="ExTwo">'Questions'!$C$16</definedName>
    <definedName name="IncrFour">'Questions'!$C$31</definedName>
    <definedName name="IncrOne">'Questions'!$C$28</definedName>
    <definedName name="IncrThree">'Questions'!$C$30</definedName>
    <definedName name="IncrTwo">'Questions'!$C$29</definedName>
    <definedName name="_xlnm.Print_Area" localSheetId="2">'Stats'!$A$1:$N$94</definedName>
    <definedName name="_xlnm.Print_Titles" localSheetId="1">'Wendler''s 5-3-1'!$1:$1</definedName>
    <definedName name="RMFour">'Questions'!$I$24</definedName>
    <definedName name="RMOne">'Questions'!$I$21</definedName>
    <definedName name="RMThree">'Questions'!$I$23</definedName>
    <definedName name="RMTwo">'Questions'!$I$22</definedName>
    <definedName name="Rounding">'Questions'!$C$9</definedName>
    <definedName name="WeightFormat">'Questions'!$E$8</definedName>
  </definedNames>
  <calcPr fullCalcOnLoad="1"/>
</workbook>
</file>

<file path=xl/comments1.xml><?xml version="1.0" encoding="utf-8"?>
<comments xmlns="http://schemas.openxmlformats.org/spreadsheetml/2006/main">
  <authors>
    <author>Jonathan A. Khoo</author>
  </authors>
  <commentList>
    <comment ref="E15" authorId="0">
      <text>
        <r>
          <rPr>
            <sz val="9"/>
            <rFont val="Tahoma"/>
            <family val="2"/>
          </rPr>
          <t xml:space="preserve">This is the day you begin 5/3/1
</t>
        </r>
      </text>
    </comment>
    <comment ref="C8" authorId="0">
      <text>
        <r>
          <rPr>
            <sz val="9"/>
            <rFont val="Tahoma"/>
            <family val="2"/>
          </rPr>
          <t>Full weight + bar = Total weight
Weights on one side only = Just the weights you add to one side of the barbell</t>
        </r>
      </text>
    </comment>
    <comment ref="V13" authorId="0">
      <text>
        <r>
          <rPr>
            <sz val="9"/>
            <rFont val="Tahoma"/>
            <family val="2"/>
          </rPr>
          <t>This matrix shows the distance of the other days relative to the day in the column. For example, Friday is one day away from Thursday, hence a 1 value in the Fri-Thu cell (x y)</t>
        </r>
      </text>
    </comment>
    <comment ref="R7" authorId="0">
      <text>
        <r>
          <rPr>
            <sz val="9"/>
            <rFont val="Tahoma"/>
            <family val="2"/>
          </rPr>
          <t xml:space="preserve">This table looks up the day matrix for the distance away from the first work day.  The implementation currently only supports days within the same week of the first day in cell B22. </t>
        </r>
      </text>
    </comment>
  </commentList>
</comments>
</file>

<file path=xl/comments3.xml><?xml version="1.0" encoding="utf-8"?>
<comments xmlns="http://schemas.openxmlformats.org/spreadsheetml/2006/main">
  <authors>
    <author>Jonathan A. Khoo</author>
  </authors>
  <commentList>
    <comment ref="C3" authorId="0">
      <text>
        <r>
          <rPr>
            <b/>
            <sz val="9"/>
            <rFont val="Tahoma"/>
            <family val="2"/>
          </rPr>
          <t>Enter your weight here</t>
        </r>
        <r>
          <rPr>
            <sz val="9"/>
            <rFont val="Tahoma"/>
            <family val="2"/>
          </rPr>
          <t xml:space="preserve">
</t>
        </r>
      </text>
    </comment>
    <comment ref="D3" authorId="0">
      <text>
        <r>
          <rPr>
            <b/>
            <sz val="9"/>
            <rFont val="Tahoma"/>
            <family val="2"/>
          </rPr>
          <t>Enter your weight here</t>
        </r>
        <r>
          <rPr>
            <sz val="9"/>
            <rFont val="Tahoma"/>
            <family val="2"/>
          </rPr>
          <t xml:space="preserve">
</t>
        </r>
      </text>
    </comment>
    <comment ref="E3" authorId="0">
      <text>
        <r>
          <rPr>
            <b/>
            <sz val="9"/>
            <rFont val="Tahoma"/>
            <family val="2"/>
          </rPr>
          <t>Enter your weight here</t>
        </r>
        <r>
          <rPr>
            <sz val="9"/>
            <rFont val="Tahoma"/>
            <family val="2"/>
          </rPr>
          <t xml:space="preserve">
</t>
        </r>
      </text>
    </comment>
    <comment ref="F3" authorId="0">
      <text>
        <r>
          <rPr>
            <b/>
            <sz val="9"/>
            <rFont val="Tahoma"/>
            <family val="2"/>
          </rPr>
          <t>Enter your weight here</t>
        </r>
        <r>
          <rPr>
            <sz val="9"/>
            <rFont val="Tahoma"/>
            <family val="2"/>
          </rPr>
          <t xml:space="preserve">
</t>
        </r>
      </text>
    </comment>
    <comment ref="G3" authorId="0">
      <text>
        <r>
          <rPr>
            <b/>
            <sz val="9"/>
            <rFont val="Tahoma"/>
            <family val="2"/>
          </rPr>
          <t>Enter your weight here</t>
        </r>
        <r>
          <rPr>
            <sz val="9"/>
            <rFont val="Tahoma"/>
            <family val="2"/>
          </rPr>
          <t xml:space="preserve">
</t>
        </r>
      </text>
    </comment>
    <comment ref="H3" authorId="0">
      <text>
        <r>
          <rPr>
            <b/>
            <sz val="9"/>
            <rFont val="Tahoma"/>
            <family val="2"/>
          </rPr>
          <t>Enter your weight here</t>
        </r>
        <r>
          <rPr>
            <sz val="9"/>
            <rFont val="Tahoma"/>
            <family val="2"/>
          </rPr>
          <t xml:space="preserve">
</t>
        </r>
      </text>
    </comment>
    <comment ref="I3" authorId="0">
      <text>
        <r>
          <rPr>
            <b/>
            <sz val="9"/>
            <rFont val="Tahoma"/>
            <family val="2"/>
          </rPr>
          <t>Enter your weight here</t>
        </r>
        <r>
          <rPr>
            <sz val="9"/>
            <rFont val="Tahoma"/>
            <family val="2"/>
          </rPr>
          <t xml:space="preserve">
</t>
        </r>
      </text>
    </comment>
    <comment ref="J3" authorId="0">
      <text>
        <r>
          <rPr>
            <b/>
            <sz val="9"/>
            <rFont val="Tahoma"/>
            <family val="2"/>
          </rPr>
          <t>Enter your weight here</t>
        </r>
        <r>
          <rPr>
            <sz val="9"/>
            <rFont val="Tahoma"/>
            <family val="2"/>
          </rPr>
          <t xml:space="preserve">
</t>
        </r>
      </text>
    </comment>
    <comment ref="K3" authorId="0">
      <text>
        <r>
          <rPr>
            <b/>
            <sz val="9"/>
            <rFont val="Tahoma"/>
            <family val="2"/>
          </rPr>
          <t>Enter your weight here</t>
        </r>
        <r>
          <rPr>
            <sz val="9"/>
            <rFont val="Tahoma"/>
            <family val="2"/>
          </rPr>
          <t xml:space="preserve">
</t>
        </r>
      </text>
    </comment>
    <comment ref="L3" authorId="0">
      <text>
        <r>
          <rPr>
            <b/>
            <sz val="9"/>
            <rFont val="Tahoma"/>
            <family val="2"/>
          </rPr>
          <t>Enter your weight here</t>
        </r>
        <r>
          <rPr>
            <sz val="9"/>
            <rFont val="Tahoma"/>
            <family val="2"/>
          </rPr>
          <t xml:space="preserve">
</t>
        </r>
      </text>
    </comment>
    <comment ref="M3" authorId="0">
      <text>
        <r>
          <rPr>
            <b/>
            <sz val="9"/>
            <rFont val="Tahoma"/>
            <family val="2"/>
          </rPr>
          <t>Enter your weight here</t>
        </r>
        <r>
          <rPr>
            <sz val="9"/>
            <rFont val="Tahoma"/>
            <family val="2"/>
          </rPr>
          <t xml:space="preserve">
</t>
        </r>
      </text>
    </comment>
    <comment ref="N3" authorId="0">
      <text>
        <r>
          <rPr>
            <b/>
            <sz val="9"/>
            <rFont val="Tahoma"/>
            <family val="2"/>
          </rPr>
          <t>Enter your weight here</t>
        </r>
        <r>
          <rPr>
            <sz val="9"/>
            <rFont val="Tahoma"/>
            <family val="2"/>
          </rPr>
          <t xml:space="preserve">
</t>
        </r>
      </text>
    </comment>
  </commentList>
</comments>
</file>

<file path=xl/sharedStrings.xml><?xml version="1.0" encoding="utf-8"?>
<sst xmlns="http://schemas.openxmlformats.org/spreadsheetml/2006/main" count="671" uniqueCount="268">
  <si>
    <t>1RM</t>
  </si>
  <si>
    <t>Squat</t>
  </si>
  <si>
    <t>Bench Press</t>
  </si>
  <si>
    <t>Deadlift</t>
  </si>
  <si>
    <t>Shoulder Press</t>
  </si>
  <si>
    <t>Core Lift</t>
  </si>
  <si>
    <t>Week 1</t>
  </si>
  <si>
    <t>Week 2</t>
  </si>
  <si>
    <r>
      <t xml:space="preserve">Week 3: </t>
    </r>
    <r>
      <rPr>
        <sz val="11"/>
        <color theme="1"/>
        <rFont val="Calibri"/>
        <family val="2"/>
      </rPr>
      <t>1x5, 1x3, 1x1+</t>
    </r>
  </si>
  <si>
    <r>
      <t xml:space="preserve">Week 2: </t>
    </r>
    <r>
      <rPr>
        <sz val="11"/>
        <color theme="1"/>
        <rFont val="Calibri"/>
        <family val="2"/>
      </rPr>
      <t>3x3+</t>
    </r>
  </si>
  <si>
    <r>
      <t xml:space="preserve">Week 4: </t>
    </r>
    <r>
      <rPr>
        <sz val="11"/>
        <color theme="1"/>
        <rFont val="Calibri"/>
        <family val="2"/>
      </rPr>
      <t>3x5 (Deload)</t>
    </r>
  </si>
  <si>
    <r>
      <rPr>
        <b/>
        <sz val="11"/>
        <color indexed="8"/>
        <rFont val="Calibri"/>
        <family val="2"/>
      </rPr>
      <t>Week 1:</t>
    </r>
    <r>
      <rPr>
        <sz val="11"/>
        <color theme="1"/>
        <rFont val="Calibri"/>
        <family val="2"/>
      </rPr>
      <t xml:space="preserve"> 3x5+</t>
    </r>
  </si>
  <si>
    <t>Week 3</t>
  </si>
  <si>
    <t>Week 4</t>
  </si>
  <si>
    <t>Wendler Percentages</t>
  </si>
  <si>
    <t>NA</t>
  </si>
  <si>
    <t>Weight</t>
  </si>
  <si>
    <t>CYCLE:</t>
  </si>
  <si>
    <t>Strength/Weight Ratio</t>
  </si>
  <si>
    <t>Average Weight</t>
  </si>
  <si>
    <t>Mon</t>
  </si>
  <si>
    <t>Wed</t>
  </si>
  <si>
    <t>Thu</t>
  </si>
  <si>
    <t>Fri</t>
  </si>
  <si>
    <t>Sat</t>
  </si>
  <si>
    <t>Sun</t>
  </si>
  <si>
    <t>Tue</t>
  </si>
  <si>
    <t>Days worked out:</t>
  </si>
  <si>
    <t>COL LOOKUP</t>
  </si>
  <si>
    <t>LOOK UP VALUE</t>
  </si>
  <si>
    <t>DATE</t>
  </si>
  <si>
    <t>Day Matrix</t>
  </si>
  <si>
    <t>lbs</t>
  </si>
  <si>
    <t>GRAPHS:</t>
  </si>
  <si>
    <t>Set 1</t>
  </si>
  <si>
    <t>Set 2</t>
  </si>
  <si>
    <t>Set 3</t>
  </si>
  <si>
    <t>PR: Set 3</t>
  </si>
  <si>
    <t>CYCLE 1</t>
  </si>
  <si>
    <t>CYCLE 2</t>
  </si>
  <si>
    <t>CYCLE 3</t>
  </si>
  <si>
    <t>CYCLE 4</t>
  </si>
  <si>
    <t>CYCLE 5</t>
  </si>
  <si>
    <t>CYCLE 6</t>
  </si>
  <si>
    <t>CYCLE 7</t>
  </si>
  <si>
    <t>CYCLE 8</t>
  </si>
  <si>
    <t>CYCLE 9</t>
  </si>
  <si>
    <t>CYCLE 10</t>
  </si>
  <si>
    <t>CYCLE 11</t>
  </si>
  <si>
    <t>CYCLE 12</t>
  </si>
  <si>
    <t>CYCLE 13</t>
  </si>
  <si>
    <t>1RM Projection (Top Workset)</t>
  </si>
  <si>
    <t>Week 1 PR 1RM</t>
  </si>
  <si>
    <t>Week 2 PR 1RM</t>
  </si>
  <si>
    <t>Week 3 PR 1RM</t>
  </si>
  <si>
    <t>Weeks 1 to 3</t>
  </si>
  <si>
    <t>5 x 10</t>
  </si>
  <si>
    <t>3 x 10</t>
  </si>
  <si>
    <t>5 x 8</t>
  </si>
  <si>
    <t>3 x 8</t>
  </si>
  <si>
    <t>I currently weigh:</t>
  </si>
  <si>
    <t>I measure weights using:</t>
  </si>
  <si>
    <t>reps</t>
  </si>
  <si>
    <t>on</t>
  </si>
  <si>
    <t>My current lifts:</t>
  </si>
  <si>
    <t>5/3/1 plan:</t>
  </si>
  <si>
    <t>Day 1:</t>
  </si>
  <si>
    <t>Day 2:</t>
  </si>
  <si>
    <t>Day 3:</t>
  </si>
  <si>
    <t>Day 4:</t>
  </si>
  <si>
    <t>I intend to do the following lifts beginning:</t>
  </si>
  <si>
    <r>
      <t xml:space="preserve">Edit the cells in </t>
    </r>
    <r>
      <rPr>
        <b/>
        <sz val="24"/>
        <color indexed="30"/>
        <rFont val="Calibri"/>
        <family val="2"/>
      </rPr>
      <t xml:space="preserve">blue </t>
    </r>
    <r>
      <rPr>
        <b/>
        <sz val="24"/>
        <rFont val="Calibri"/>
        <family val="2"/>
      </rPr>
      <t>ONLY</t>
    </r>
  </si>
  <si>
    <t>5/3/1 progression:</t>
  </si>
  <si>
    <t>I will increase my lifts every cycle (4 weeks) by:</t>
  </si>
  <si>
    <t>I use Olympic bars weighing:</t>
  </si>
  <si>
    <t>I'd prefer seeing:</t>
  </si>
  <si>
    <t>Full weight + bar</t>
  </si>
  <si>
    <t>General:</t>
  </si>
  <si>
    <t>I'd like to round to the nearest:</t>
  </si>
  <si>
    <t>I'd like my Boring But Big to be at:</t>
  </si>
  <si>
    <t>of my projected 1RM (optional)</t>
  </si>
  <si>
    <t>All done, take me to my schedule</t>
  </si>
  <si>
    <t>for:</t>
  </si>
  <si>
    <t>(1RM:</t>
  </si>
  <si>
    <t>Do not modify</t>
  </si>
  <si>
    <t>format</t>
  </si>
  <si>
    <t>weight</t>
  </si>
  <si>
    <t>olybar</t>
  </si>
  <si>
    <t>barsplit</t>
  </si>
  <si>
    <t>rounding</t>
  </si>
  <si>
    <t>bbb</t>
  </si>
  <si>
    <t>startdate</t>
  </si>
  <si>
    <t>ex_one</t>
  </si>
  <si>
    <t>ex_two</t>
  </si>
  <si>
    <t>ex_three</t>
  </si>
  <si>
    <t>ex_four</t>
  </si>
  <si>
    <t>ex_one_w</t>
  </si>
  <si>
    <t>ex_two_w</t>
  </si>
  <si>
    <t>ex_three_w</t>
  </si>
  <si>
    <t>ex_four_w</t>
  </si>
  <si>
    <t>ex_one_r</t>
  </si>
  <si>
    <t>ex_two_r</t>
  </si>
  <si>
    <t>ex_three_r</t>
  </si>
  <si>
    <t>ex_four_r</t>
  </si>
  <si>
    <t>ex_one_i</t>
  </si>
  <si>
    <t>ex_two_i</t>
  </si>
  <si>
    <t>ex_three_i</t>
  </si>
  <si>
    <t>ex_four_i</t>
  </si>
  <si>
    <t>ex_one_d</t>
  </si>
  <si>
    <t>ex_two_d</t>
  </si>
  <si>
    <t>ex_three_d</t>
  </si>
  <si>
    <t>ex_four_d</t>
  </si>
  <si>
    <t>ex_one_pr1-1</t>
  </si>
  <si>
    <t>ex_one_pr1-2</t>
  </si>
  <si>
    <t>ex_one_pr1-3</t>
  </si>
  <si>
    <t>ex_one_pr2-1</t>
  </si>
  <si>
    <t>ex_one_pr2-2</t>
  </si>
  <si>
    <t>ex_one_pr3-3</t>
  </si>
  <si>
    <t>ex_one_pr2-3</t>
  </si>
  <si>
    <t>ex_one_pr3-1</t>
  </si>
  <si>
    <t>ex_one_pr3-2</t>
  </si>
  <si>
    <t>ex_one_pr4-1</t>
  </si>
  <si>
    <t>ex_one_pr4-2</t>
  </si>
  <si>
    <t>ex_one_pr4-3</t>
  </si>
  <si>
    <t>ex_one_pr5-1</t>
  </si>
  <si>
    <t>ex_one_pr5-2</t>
  </si>
  <si>
    <t>ex_one_pr5-3</t>
  </si>
  <si>
    <t>ex_one_pr6-1</t>
  </si>
  <si>
    <t>ex_one_pr6-2</t>
  </si>
  <si>
    <t>ex_one_pr6-3</t>
  </si>
  <si>
    <t>ex_one_pr7-1</t>
  </si>
  <si>
    <t>ex_one_pr7-2</t>
  </si>
  <si>
    <t>ex_one_pr7-3</t>
  </si>
  <si>
    <t>ex_one_pr8-1</t>
  </si>
  <si>
    <t>ex_one_pr8-2</t>
  </si>
  <si>
    <t>ex_one_pr8-3</t>
  </si>
  <si>
    <t>ex_one_pr9-1</t>
  </si>
  <si>
    <t>ex_one_pr9-2</t>
  </si>
  <si>
    <t>ex_one_pr9-3</t>
  </si>
  <si>
    <t>ex_one_pr10-1</t>
  </si>
  <si>
    <t>ex_one_pr10-2</t>
  </si>
  <si>
    <t>ex_one_pr10-3</t>
  </si>
  <si>
    <t>ex_one_pr11-1</t>
  </si>
  <si>
    <t>ex_one_pr11-2</t>
  </si>
  <si>
    <t>ex_one_pr11-3</t>
  </si>
  <si>
    <t>ex_one_pr12-1</t>
  </si>
  <si>
    <t>ex_one_pr12-2</t>
  </si>
  <si>
    <t>ex_one_pr12-3</t>
  </si>
  <si>
    <t>ex_one_pr13-1</t>
  </si>
  <si>
    <t>ex_one_pr13-2</t>
  </si>
  <si>
    <t>ex_one_pr13-3</t>
  </si>
  <si>
    <t>ex_two_pr1-1</t>
  </si>
  <si>
    <t>ex_two_pr1-2</t>
  </si>
  <si>
    <t>ex_two_pr1-3</t>
  </si>
  <si>
    <t>ex_two_pr2-1</t>
  </si>
  <si>
    <t>ex_two_pr2-2</t>
  </si>
  <si>
    <t>ex_two_pr2-3</t>
  </si>
  <si>
    <t>ex_two_pr3-1</t>
  </si>
  <si>
    <t>ex_two_pr3-2</t>
  </si>
  <si>
    <t>ex_two_pr3-3</t>
  </si>
  <si>
    <t>ex_two_pr4-1</t>
  </si>
  <si>
    <t>ex_two_pr4-2</t>
  </si>
  <si>
    <t>ex_two_pr4-3</t>
  </si>
  <si>
    <t>ex_two_pr5-1</t>
  </si>
  <si>
    <t>ex_two_pr5-2</t>
  </si>
  <si>
    <t>ex_two_pr5-3</t>
  </si>
  <si>
    <t>ex_two_pr6-1</t>
  </si>
  <si>
    <t>ex_two_pr6-2</t>
  </si>
  <si>
    <t>ex_two_pr6-3</t>
  </si>
  <si>
    <t>ex_two_pr7-1</t>
  </si>
  <si>
    <t>ex_two_pr7-2</t>
  </si>
  <si>
    <t>ex_two_pr7-3</t>
  </si>
  <si>
    <t>ex_two_pr8-1</t>
  </si>
  <si>
    <t>ex_two_pr8-2</t>
  </si>
  <si>
    <t>ex_two_pr8-3</t>
  </si>
  <si>
    <t>ex_two_pr9-1</t>
  </si>
  <si>
    <t>ex_two_pr9-2</t>
  </si>
  <si>
    <t>ex_two_pr9-3</t>
  </si>
  <si>
    <t>ex_two_pr10-1</t>
  </si>
  <si>
    <t>ex_two_pr10-2</t>
  </si>
  <si>
    <t>ex_two_pr10-3</t>
  </si>
  <si>
    <t>ex_two_pr11-1</t>
  </si>
  <si>
    <t>ex_two_pr11-2</t>
  </si>
  <si>
    <t>ex_two_pr11-3</t>
  </si>
  <si>
    <t>ex_two_pr12-1</t>
  </si>
  <si>
    <t>ex_two_pr12-2</t>
  </si>
  <si>
    <t>ex_two_pr12-3</t>
  </si>
  <si>
    <t>ex_two_pr13-1</t>
  </si>
  <si>
    <t>ex_two_pr13-2</t>
  </si>
  <si>
    <t>ex_two_pr13-3</t>
  </si>
  <si>
    <t>ex_three_pr1-1</t>
  </si>
  <si>
    <t>ex_three_pr1-2</t>
  </si>
  <si>
    <t>ex_three_pr1-3</t>
  </si>
  <si>
    <t>ex_three_pr2-1</t>
  </si>
  <si>
    <t>ex_three_pr2-2</t>
  </si>
  <si>
    <t>ex_three_pr2-3</t>
  </si>
  <si>
    <t>ex_three_pr3-1</t>
  </si>
  <si>
    <t>ex_three_pr3-2</t>
  </si>
  <si>
    <t>ex_three_pr3-3</t>
  </si>
  <si>
    <t>ex_three_pr4-1</t>
  </si>
  <si>
    <t>ex_three_pr4-2</t>
  </si>
  <si>
    <t>ex_three_pr4-3</t>
  </si>
  <si>
    <t>ex_three_pr5-1</t>
  </si>
  <si>
    <t>ex_three_pr5-2</t>
  </si>
  <si>
    <t>ex_three_pr5-3</t>
  </si>
  <si>
    <t>ex_three_pr6-1</t>
  </si>
  <si>
    <t>ex_three_pr6-2</t>
  </si>
  <si>
    <t>ex_three_pr6-3</t>
  </si>
  <si>
    <t>ex_three_pr7-1</t>
  </si>
  <si>
    <t>ex_three_pr7-2</t>
  </si>
  <si>
    <t>ex_three_pr7-3</t>
  </si>
  <si>
    <t>ex_three_pr8-1</t>
  </si>
  <si>
    <t>ex_three_pr8-2</t>
  </si>
  <si>
    <t>ex_three_pr8-3</t>
  </si>
  <si>
    <t>ex_three_pr9-1</t>
  </si>
  <si>
    <t>ex_three_pr9-2</t>
  </si>
  <si>
    <t>ex_three_pr9-3</t>
  </si>
  <si>
    <t>ex_three_pr10-1</t>
  </si>
  <si>
    <t>ex_three_pr10-2</t>
  </si>
  <si>
    <t>ex_three_pr10-3</t>
  </si>
  <si>
    <t>ex_three_pr11-1</t>
  </si>
  <si>
    <t>ex_three_pr11-2</t>
  </si>
  <si>
    <t>ex_three_pr11-3</t>
  </si>
  <si>
    <t>ex_three_pr12-1</t>
  </si>
  <si>
    <t>ex_three_pr12-2</t>
  </si>
  <si>
    <t>ex_three_pr12-3</t>
  </si>
  <si>
    <t>ex_three_pr13-1</t>
  </si>
  <si>
    <t>ex_three_pr13-2</t>
  </si>
  <si>
    <t>ex_three_pr13-3</t>
  </si>
  <si>
    <t>ex_four_pr1-1</t>
  </si>
  <si>
    <t>ex_four_pr1-2</t>
  </si>
  <si>
    <t>ex_four_pr1-3</t>
  </si>
  <si>
    <t>ex_four_pr2-1</t>
  </si>
  <si>
    <t>ex_four_pr2-2</t>
  </si>
  <si>
    <t>ex_four_pr2-3</t>
  </si>
  <si>
    <t>ex_four_pr3-1</t>
  </si>
  <si>
    <t>ex_four_pr3-2</t>
  </si>
  <si>
    <t>ex_four_pr3-3</t>
  </si>
  <si>
    <t>ex_four_pr4-1</t>
  </si>
  <si>
    <t>ex_four_pr4-2</t>
  </si>
  <si>
    <t>ex_four_pr4-3</t>
  </si>
  <si>
    <t>ex_four_pr5-1</t>
  </si>
  <si>
    <t>ex_four_pr5-2</t>
  </si>
  <si>
    <t>ex_four_pr5-3</t>
  </si>
  <si>
    <t>ex_four_pr6-1</t>
  </si>
  <si>
    <t>ex_four_pr6-2</t>
  </si>
  <si>
    <t>ex_four_pr6-3</t>
  </si>
  <si>
    <t>ex_four_pr7-1</t>
  </si>
  <si>
    <t>ex_four_pr7-2</t>
  </si>
  <si>
    <t>ex_four_pr7-3</t>
  </si>
  <si>
    <t>ex_four_pr8-1</t>
  </si>
  <si>
    <t>ex_four_pr8-2</t>
  </si>
  <si>
    <t>ex_four_pr8-3</t>
  </si>
  <si>
    <t>ex_four_pr9-1</t>
  </si>
  <si>
    <t>ex_four_pr9-2</t>
  </si>
  <si>
    <t>ex_four_pr9-3</t>
  </si>
  <si>
    <t>ex_four_pr10-1</t>
  </si>
  <si>
    <t>ex_four_pr10-2</t>
  </si>
  <si>
    <t>ex_four_pr10-3</t>
  </si>
  <si>
    <t>ex_four_pr11-1</t>
  </si>
  <si>
    <t>ex_four_pr11-2</t>
  </si>
  <si>
    <t>ex_four_pr11-3</t>
  </si>
  <si>
    <t>ex_four_pr12-1</t>
  </si>
  <si>
    <t>ex_four_pr12-2</t>
  </si>
  <si>
    <t>ex_four_pr12-3</t>
  </si>
  <si>
    <t>ex_four_pr13-1</t>
  </si>
  <si>
    <t>ex_four_pr13-2</t>
  </si>
  <si>
    <t>ex_four_pr13-3</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</si>
</sst>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 dd\ mmm"/>
    <numFmt numFmtId="165" formatCode="0.0000_);\(0.0000\)"/>
    <numFmt numFmtId="166" formatCode="General&quot;x&quot;"/>
    <numFmt numFmtId="167" formatCode="&quot;CYCLE&quot;\ General"/>
    <numFmt numFmtId="168" formatCode="dd\ mmm"/>
    <numFmt numFmtId="169" formatCode="dd\ mmm\ yyyy"/>
    <numFmt numFmtId="170" formatCode="[$-409]d\-mmm\-yy;@"/>
    <numFmt numFmtId="171" formatCode="ddd"/>
    <numFmt numFmtId="172" formatCode="General&quot;.&quot;"/>
    <numFmt numFmtId="173" formatCode="0.00_);[Red]\(0.00\)"/>
    <numFmt numFmtId="174" formatCode="0.00_);\(0.00\)"/>
    <numFmt numFmtId="175" formatCode="0_);\(0\)"/>
    <numFmt numFmtId="176" formatCode="&quot;v&quot;0.00"/>
  </numFmts>
  <fonts count="81">
    <font>
      <sz val="11"/>
      <color theme="1"/>
      <name val="Calibri"/>
      <family val="2"/>
    </font>
    <font>
      <sz val="11"/>
      <color indexed="8"/>
      <name val="Calibri"/>
      <family val="2"/>
    </font>
    <font>
      <b/>
      <sz val="11"/>
      <color indexed="8"/>
      <name val="Calibri"/>
      <family val="2"/>
    </font>
    <font>
      <sz val="9"/>
      <name val="Tahoma"/>
      <family val="2"/>
    </font>
    <font>
      <b/>
      <sz val="9"/>
      <name val="Tahoma"/>
      <family val="2"/>
    </font>
    <font>
      <b/>
      <sz val="24"/>
      <color indexed="30"/>
      <name val="Calibri"/>
      <family val="2"/>
    </font>
    <font>
      <b/>
      <sz val="24"/>
      <name val="Calibri"/>
      <family val="2"/>
    </font>
    <font>
      <u val="single"/>
      <sz val="11"/>
      <color indexed="12"/>
      <name val="Calibri"/>
      <family val="2"/>
    </font>
    <font>
      <sz val="11"/>
      <name val="Calibri"/>
      <family val="2"/>
    </font>
    <font>
      <i/>
      <sz val="11"/>
      <color indexed="8"/>
      <name val="Calibri"/>
      <family val="2"/>
    </font>
    <font>
      <i/>
      <sz val="11"/>
      <color indexed="30"/>
      <name val="Calibri"/>
      <family val="2"/>
    </font>
    <font>
      <i/>
      <sz val="11"/>
      <name val="Calibri"/>
      <family val="2"/>
    </font>
    <font>
      <sz val="11"/>
      <color indexed="9"/>
      <name val="Calibri"/>
      <family val="2"/>
    </font>
    <font>
      <b/>
      <sz val="14"/>
      <color indexed="8"/>
      <name val="Calibri"/>
      <family val="2"/>
    </font>
    <font>
      <b/>
      <sz val="11"/>
      <color indexed="9"/>
      <name val="Calibri"/>
      <family val="2"/>
    </font>
    <font>
      <b/>
      <sz val="11"/>
      <name val="Calibri"/>
      <family val="2"/>
    </font>
    <font>
      <b/>
      <sz val="11"/>
      <color indexed="55"/>
      <name val="Calibri"/>
      <family val="2"/>
    </font>
    <font>
      <sz val="11"/>
      <color indexed="55"/>
      <name val="Calibri"/>
      <family val="2"/>
    </font>
    <font>
      <i/>
      <sz val="11"/>
      <color indexed="55"/>
      <name val="Calibri"/>
      <family val="2"/>
    </font>
    <font>
      <sz val="16"/>
      <color indexed="8"/>
      <name val="Calibri"/>
      <family val="2"/>
    </font>
    <font>
      <sz val="16"/>
      <color indexed="30"/>
      <name val="Calibri"/>
      <family val="2"/>
    </font>
    <font>
      <b/>
      <sz val="24"/>
      <color indexed="8"/>
      <name val="Calibri"/>
      <family val="2"/>
    </font>
    <font>
      <b/>
      <sz val="16"/>
      <color indexed="8"/>
      <name val="Calibri"/>
      <family val="2"/>
    </font>
    <font>
      <sz val="16"/>
      <name val="Calibri"/>
      <family val="2"/>
    </font>
    <font>
      <sz val="24"/>
      <color indexed="8"/>
      <name val="Calibri"/>
      <family val="2"/>
    </font>
    <font>
      <i/>
      <sz val="16"/>
      <color indexed="8"/>
      <name val="Calibri"/>
      <family val="2"/>
    </font>
    <font>
      <sz val="11"/>
      <color indexed="30"/>
      <name val="Calibri"/>
      <family val="2"/>
    </font>
    <font>
      <sz val="16"/>
      <color indexed="55"/>
      <name val="Calibri"/>
      <family val="2"/>
    </font>
    <font>
      <b/>
      <sz val="11"/>
      <color indexed="10"/>
      <name val="Calibri"/>
      <family val="2"/>
    </font>
    <font>
      <b/>
      <sz val="48"/>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u val="single"/>
      <sz val="11"/>
      <color indexed="20"/>
      <name val="Calibri"/>
      <family val="2"/>
    </font>
    <font>
      <sz val="10"/>
      <color indexed="8"/>
      <name val="Calibri"/>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i/>
      <sz val="11"/>
      <color rgb="FF0070C0"/>
      <name val="Calibri"/>
      <family val="2"/>
    </font>
    <font>
      <b/>
      <sz val="14"/>
      <color theme="1"/>
      <name val="Calibri"/>
      <family val="2"/>
    </font>
    <font>
      <b/>
      <sz val="11"/>
      <color theme="0" tint="-0.3499799966812134"/>
      <name val="Calibri"/>
      <family val="2"/>
    </font>
    <font>
      <sz val="11"/>
      <color theme="0" tint="-0.3499799966812134"/>
      <name val="Calibri"/>
      <family val="2"/>
    </font>
    <font>
      <i/>
      <sz val="11"/>
      <color theme="0" tint="-0.3499799966812134"/>
      <name val="Calibri"/>
      <family val="2"/>
    </font>
    <font>
      <sz val="16"/>
      <color theme="1"/>
      <name val="Calibri"/>
      <family val="2"/>
    </font>
    <font>
      <sz val="16"/>
      <color rgb="FF0070C0"/>
      <name val="Calibri"/>
      <family val="2"/>
    </font>
    <font>
      <b/>
      <sz val="24"/>
      <color theme="1"/>
      <name val="Calibri"/>
      <family val="2"/>
    </font>
    <font>
      <b/>
      <sz val="16"/>
      <color theme="1"/>
      <name val="Calibri"/>
      <family val="2"/>
    </font>
    <font>
      <sz val="24"/>
      <color theme="1"/>
      <name val="Calibri"/>
      <family val="2"/>
    </font>
    <font>
      <i/>
      <sz val="16"/>
      <color theme="1"/>
      <name val="Calibri"/>
      <family val="2"/>
    </font>
    <font>
      <sz val="11"/>
      <color rgb="FF0070C0"/>
      <name val="Calibri"/>
      <family val="2"/>
    </font>
    <font>
      <sz val="16"/>
      <color theme="0" tint="-0.24997000396251678"/>
      <name val="Calibri"/>
      <family val="2"/>
    </font>
    <font>
      <b/>
      <sz val="11"/>
      <color rgb="FFFF0000"/>
      <name val="Calibri"/>
      <family val="2"/>
    </font>
    <font>
      <b/>
      <sz val="48"/>
      <color theme="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FFF00"/>
        <bgColor indexed="64"/>
      </patternFill>
    </fill>
    <fill>
      <patternFill patternType="solid">
        <fgColor theme="3" tint="0.39998000860214233"/>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style="thin"/>
      <right style="thin"/>
      <top/>
      <bottom/>
    </border>
    <border>
      <left/>
      <right/>
      <top/>
      <bottom style="thin"/>
    </border>
    <border>
      <left style="thin"/>
      <right/>
      <top style="thin"/>
      <bottom/>
    </border>
    <border>
      <left style="thin"/>
      <right style="thin"/>
      <top style="thin"/>
      <bottom style="thin"/>
    </border>
    <border>
      <left/>
      <right style="thin"/>
      <top style="thin"/>
      <bottom/>
    </border>
    <border>
      <left style="thin"/>
      <right/>
      <top/>
      <bottom style="medium"/>
    </border>
    <border>
      <left style="thin"/>
      <right style="thin"/>
      <top style="thin"/>
      <bottom style="medium"/>
    </border>
    <border>
      <left style="thin"/>
      <right style="thin"/>
      <top/>
      <bottom style="thin"/>
    </border>
    <border>
      <left style="thin"/>
      <right/>
      <top/>
      <bottom style="thin"/>
    </border>
    <border>
      <left style="thin"/>
      <right style="thin"/>
      <top style="thin"/>
      <bottom/>
    </border>
    <border>
      <left/>
      <right/>
      <top style="thin"/>
      <bottom/>
    </border>
    <border>
      <left style="thin"/>
      <right/>
      <top/>
      <bottom/>
    </border>
    <border>
      <left/>
      <right style="thin"/>
      <top/>
      <bottom/>
    </border>
    <border>
      <left/>
      <right style="thin"/>
      <top/>
      <bottom style="medium"/>
    </border>
    <border>
      <left/>
      <right style="thin"/>
      <top/>
      <bottom style="thin"/>
    </border>
    <border>
      <left style="thin"/>
      <right/>
      <top style="thin"/>
      <bottom style="medium"/>
    </border>
    <border>
      <left style="thin"/>
      <right/>
      <top style="thin"/>
      <bottom style="thin"/>
    </border>
    <border>
      <left style="thin"/>
      <right/>
      <top style="medium"/>
      <bottom style="thin"/>
    </border>
    <border>
      <left style="thin"/>
      <right style="thin"/>
      <top style="medium"/>
      <bottom style="thin"/>
    </border>
    <border>
      <left style="thin"/>
      <right/>
      <top/>
      <bottom style="dotted"/>
    </border>
    <border>
      <left style="thin"/>
      <right style="thin"/>
      <top/>
      <bottom style="dotted"/>
    </border>
    <border>
      <left style="thin"/>
      <right style="thin"/>
      <top style="dotted"/>
      <bottom style="medium"/>
    </border>
    <border>
      <left style="thin"/>
      <right style="thin"/>
      <top style="medium"/>
      <bottom style="medium"/>
    </border>
    <border>
      <left/>
      <right/>
      <top style="medium"/>
      <bottom style="medium"/>
    </border>
    <border>
      <left/>
      <right/>
      <top style="thin"/>
      <bottom style="medium"/>
    </border>
    <border>
      <left/>
      <right/>
      <top/>
      <bottom style="dotted"/>
    </border>
    <border>
      <left/>
      <right/>
      <top style="medium"/>
      <bottom style="thin"/>
    </border>
    <border>
      <left/>
      <right/>
      <top style="dotted"/>
      <bottom style="medium"/>
    </border>
    <border>
      <left/>
      <right/>
      <top style="thin"/>
      <bottom style="thin"/>
    </border>
    <border>
      <left/>
      <right style="thin">
        <color rgb="FF000000"/>
      </right>
      <top style="thin"/>
      <bottom style="thin"/>
    </border>
    <border>
      <left/>
      <right style="thin">
        <color rgb="FF000000"/>
      </right>
      <top/>
      <bottom/>
    </border>
    <border>
      <left/>
      <right style="thin">
        <color rgb="FF000000"/>
      </right>
      <top/>
      <bottom style="thin"/>
    </border>
    <border>
      <left/>
      <right style="thin"/>
      <top style="thin"/>
      <bottom style="thin"/>
    </border>
    <border>
      <left/>
      <right/>
      <top/>
      <bottom style="thin">
        <color rgb="FF000000"/>
      </bottom>
    </border>
    <border>
      <left/>
      <right style="thin"/>
      <top style="thin"/>
      <bottom style="medium"/>
    </border>
    <border>
      <left style="thin"/>
      <right/>
      <top style="medium"/>
      <bottom style="medium"/>
    </border>
    <border>
      <left/>
      <right style="thin"/>
      <top style="medium"/>
      <bottom style="medium"/>
    </border>
    <border>
      <left style="thin"/>
      <right/>
      <top style="medium"/>
      <bottom/>
    </border>
    <border>
      <left/>
      <right style="thin"/>
      <top style="medium"/>
      <bottom/>
    </border>
    <border>
      <left/>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33">
    <xf numFmtId="0" fontId="0" fillId="0" borderId="0" xfId="0" applyFont="1" applyAlignment="1">
      <alignment/>
    </xf>
    <xf numFmtId="0" fontId="0" fillId="33" borderId="10" xfId="0" applyFill="1" applyBorder="1" applyAlignment="1" applyProtection="1">
      <alignment/>
      <protection hidden="1"/>
    </xf>
    <xf numFmtId="0" fontId="0" fillId="0" borderId="11" xfId="0" applyBorder="1" applyAlignment="1" applyProtection="1">
      <alignment/>
      <protection hidden="1"/>
    </xf>
    <xf numFmtId="0" fontId="0" fillId="0" borderId="0" xfId="0" applyAlignment="1" applyProtection="1">
      <alignment/>
      <protection hidden="1"/>
    </xf>
    <xf numFmtId="0" fontId="0" fillId="33" borderId="12" xfId="0" applyFill="1" applyBorder="1" applyAlignment="1" applyProtection="1">
      <alignment/>
      <protection hidden="1"/>
    </xf>
    <xf numFmtId="0" fontId="0" fillId="33" borderId="0" xfId="0" applyFill="1" applyBorder="1" applyAlignment="1" applyProtection="1">
      <alignment/>
      <protection hidden="1"/>
    </xf>
    <xf numFmtId="0" fontId="0" fillId="34" borderId="0" xfId="0" applyFill="1" applyAlignment="1" applyProtection="1">
      <alignment/>
      <protection hidden="1"/>
    </xf>
    <xf numFmtId="0" fontId="62" fillId="33" borderId="13" xfId="0" applyFont="1" applyFill="1" applyBorder="1" applyAlignment="1" applyProtection="1">
      <alignment horizontal="center"/>
      <protection hidden="1"/>
    </xf>
    <xf numFmtId="0" fontId="62" fillId="33" borderId="14" xfId="0" applyFont="1" applyFill="1" applyBorder="1" applyAlignment="1" applyProtection="1">
      <alignment horizontal="center"/>
      <protection hidden="1"/>
    </xf>
    <xf numFmtId="0" fontId="0" fillId="33" borderId="15" xfId="0" applyFill="1" applyBorder="1" applyAlignment="1" applyProtection="1">
      <alignment/>
      <protection hidden="1"/>
    </xf>
    <xf numFmtId="0" fontId="0" fillId="33" borderId="0" xfId="0" applyFill="1" applyAlignment="1" applyProtection="1">
      <alignment/>
      <protection hidden="1"/>
    </xf>
    <xf numFmtId="0" fontId="62" fillId="33" borderId="16" xfId="0" applyFont="1" applyFill="1" applyBorder="1" applyAlignment="1" applyProtection="1">
      <alignment/>
      <protection hidden="1"/>
    </xf>
    <xf numFmtId="169" fontId="0" fillId="33" borderId="17" xfId="0" applyNumberFormat="1" applyFill="1" applyBorder="1" applyAlignment="1" applyProtection="1">
      <alignment/>
      <protection hidden="1"/>
    </xf>
    <xf numFmtId="0" fontId="0" fillId="35" borderId="18" xfId="0" applyFont="1" applyFill="1" applyBorder="1" applyAlignment="1" applyProtection="1">
      <alignment/>
      <protection hidden="1"/>
    </xf>
    <xf numFmtId="39" fontId="8" fillId="35" borderId="18" xfId="0" applyNumberFormat="1" applyFont="1" applyFill="1" applyBorder="1" applyAlignment="1" applyProtection="1">
      <alignment horizontal="right"/>
      <protection hidden="1"/>
    </xf>
    <xf numFmtId="0" fontId="0" fillId="35" borderId="0" xfId="0" applyFill="1" applyAlignment="1" applyProtection="1">
      <alignment/>
      <protection hidden="1"/>
    </xf>
    <xf numFmtId="0" fontId="64" fillId="35" borderId="19" xfId="0" applyFont="1" applyFill="1" applyBorder="1" applyAlignment="1" applyProtection="1">
      <alignment/>
      <protection hidden="1"/>
    </xf>
    <xf numFmtId="0" fontId="62" fillId="36" borderId="19" xfId="0" applyFont="1" applyFill="1" applyBorder="1" applyAlignment="1" applyProtection="1">
      <alignment/>
      <protection hidden="1"/>
    </xf>
    <xf numFmtId="0" fontId="0" fillId="36" borderId="12" xfId="0" applyFill="1" applyBorder="1" applyAlignment="1" applyProtection="1">
      <alignment/>
      <protection hidden="1"/>
    </xf>
    <xf numFmtId="0" fontId="0" fillId="0" borderId="20" xfId="0" applyBorder="1" applyAlignment="1" applyProtection="1">
      <alignment/>
      <protection hidden="1"/>
    </xf>
    <xf numFmtId="0" fontId="0" fillId="34" borderId="11" xfId="0" applyFill="1" applyBorder="1" applyAlignment="1" applyProtection="1">
      <alignment/>
      <protection hidden="1"/>
    </xf>
    <xf numFmtId="0" fontId="0" fillId="34" borderId="18" xfId="0" applyFill="1" applyBorder="1" applyAlignment="1" applyProtection="1">
      <alignment/>
      <protection hidden="1"/>
    </xf>
    <xf numFmtId="0" fontId="62" fillId="36" borderId="14" xfId="0" applyFont="1" applyFill="1" applyBorder="1" applyAlignment="1" applyProtection="1">
      <alignment/>
      <protection hidden="1"/>
    </xf>
    <xf numFmtId="0" fontId="0" fillId="36" borderId="0" xfId="0" applyFill="1" applyAlignment="1" applyProtection="1">
      <alignment/>
      <protection hidden="1"/>
    </xf>
    <xf numFmtId="43" fontId="0" fillId="0" borderId="20" xfId="0" applyNumberFormat="1" applyFill="1" applyBorder="1" applyAlignment="1" applyProtection="1">
      <alignment horizontal="right"/>
      <protection hidden="1"/>
    </xf>
    <xf numFmtId="43" fontId="0" fillId="0" borderId="21" xfId="0" applyNumberFormat="1" applyFill="1" applyBorder="1" applyAlignment="1" applyProtection="1">
      <alignment horizontal="right"/>
      <protection hidden="1"/>
    </xf>
    <xf numFmtId="43" fontId="0" fillId="34" borderId="11" xfId="0" applyNumberFormat="1" applyFill="1" applyBorder="1" applyAlignment="1" applyProtection="1">
      <alignment horizontal="right"/>
      <protection hidden="1"/>
    </xf>
    <xf numFmtId="43" fontId="0" fillId="34" borderId="0" xfId="0" applyNumberFormat="1" applyFill="1" applyBorder="1" applyAlignment="1" applyProtection="1">
      <alignment horizontal="right"/>
      <protection hidden="1"/>
    </xf>
    <xf numFmtId="43" fontId="0" fillId="0" borderId="11" xfId="0" applyNumberFormat="1" applyFill="1" applyBorder="1" applyAlignment="1" applyProtection="1">
      <alignment horizontal="right"/>
      <protection hidden="1"/>
    </xf>
    <xf numFmtId="43" fontId="0" fillId="0" borderId="0" xfId="0" applyNumberFormat="1" applyFill="1" applyBorder="1" applyAlignment="1" applyProtection="1">
      <alignment horizontal="right"/>
      <protection hidden="1"/>
    </xf>
    <xf numFmtId="43" fontId="0" fillId="34" borderId="18" xfId="0" applyNumberFormat="1" applyFill="1" applyBorder="1" applyAlignment="1" applyProtection="1">
      <alignment horizontal="right"/>
      <protection hidden="1"/>
    </xf>
    <xf numFmtId="43" fontId="0" fillId="34" borderId="12" xfId="0" applyNumberFormat="1" applyFill="1" applyBorder="1" applyAlignment="1" applyProtection="1">
      <alignment horizontal="right"/>
      <protection hidden="1"/>
    </xf>
    <xf numFmtId="0" fontId="0" fillId="33" borderId="21" xfId="0" applyFill="1" applyBorder="1" applyAlignment="1" applyProtection="1">
      <alignment/>
      <protection hidden="1"/>
    </xf>
    <xf numFmtId="0" fontId="0" fillId="33" borderId="22" xfId="0" applyFill="1" applyBorder="1" applyAlignment="1" applyProtection="1">
      <alignment/>
      <protection hidden="1"/>
    </xf>
    <xf numFmtId="0" fontId="0" fillId="33" borderId="23" xfId="0" applyFill="1" applyBorder="1" applyAlignment="1" applyProtection="1">
      <alignment/>
      <protection hidden="1"/>
    </xf>
    <xf numFmtId="0" fontId="0" fillId="33" borderId="16" xfId="0" applyFill="1" applyBorder="1" applyAlignment="1" applyProtection="1">
      <alignment/>
      <protection hidden="1"/>
    </xf>
    <xf numFmtId="0" fontId="0" fillId="33" borderId="24" xfId="0" applyFill="1" applyBorder="1" applyAlignment="1" applyProtection="1">
      <alignment/>
      <protection hidden="1"/>
    </xf>
    <xf numFmtId="0" fontId="0" fillId="33" borderId="19" xfId="0" applyFill="1" applyBorder="1" applyAlignment="1" applyProtection="1">
      <alignment/>
      <protection hidden="1"/>
    </xf>
    <xf numFmtId="0" fontId="0" fillId="33" borderId="25" xfId="0" applyFill="1" applyBorder="1" applyAlignment="1" applyProtection="1">
      <alignment/>
      <protection hidden="1"/>
    </xf>
    <xf numFmtId="43" fontId="0" fillId="0" borderId="11" xfId="0" applyNumberFormat="1" applyBorder="1" applyAlignment="1" applyProtection="1">
      <alignment horizontal="right"/>
      <protection hidden="1"/>
    </xf>
    <xf numFmtId="0" fontId="62" fillId="33" borderId="26" xfId="0" applyFont="1" applyFill="1" applyBorder="1" applyAlignment="1" applyProtection="1">
      <alignment/>
      <protection/>
    </xf>
    <xf numFmtId="0" fontId="0" fillId="33" borderId="17" xfId="0" applyFill="1" applyBorder="1" applyAlignment="1" applyProtection="1">
      <alignment/>
      <protection/>
    </xf>
    <xf numFmtId="39" fontId="64" fillId="33" borderId="27" xfId="0" applyNumberFormat="1" applyFont="1" applyFill="1" applyBorder="1" applyAlignment="1" applyProtection="1">
      <alignment horizontal="center"/>
      <protection/>
    </xf>
    <xf numFmtId="0" fontId="64" fillId="33" borderId="27" xfId="0" applyFont="1" applyFill="1" applyBorder="1" applyAlignment="1" applyProtection="1">
      <alignment horizontal="center"/>
      <protection/>
    </xf>
    <xf numFmtId="39" fontId="64" fillId="33" borderId="14" xfId="0" applyNumberFormat="1" applyFont="1" applyFill="1" applyBorder="1" applyAlignment="1" applyProtection="1">
      <alignment horizontal="center"/>
      <protection/>
    </xf>
    <xf numFmtId="9" fontId="0" fillId="33" borderId="27" xfId="59" applyFont="1" applyFill="1" applyBorder="1" applyAlignment="1" applyProtection="1">
      <alignment horizontal="center"/>
      <protection/>
    </xf>
    <xf numFmtId="9" fontId="0" fillId="33" borderId="14" xfId="59" applyFont="1" applyFill="1" applyBorder="1" applyAlignment="1" applyProtection="1">
      <alignment horizontal="center"/>
      <protection/>
    </xf>
    <xf numFmtId="0" fontId="0" fillId="0" borderId="26" xfId="0" applyFill="1" applyBorder="1" applyAlignment="1" applyProtection="1">
      <alignment/>
      <protection/>
    </xf>
    <xf numFmtId="0" fontId="0" fillId="0" borderId="17" xfId="0" applyFill="1" applyBorder="1" applyAlignment="1" applyProtection="1">
      <alignment/>
      <protection/>
    </xf>
    <xf numFmtId="0" fontId="62" fillId="15" borderId="28" xfId="0" applyFont="1" applyFill="1" applyBorder="1" applyAlignment="1" applyProtection="1">
      <alignment/>
      <protection/>
    </xf>
    <xf numFmtId="0" fontId="62" fillId="15" borderId="29" xfId="0" applyFont="1" applyFill="1" applyBorder="1" applyAlignment="1" applyProtection="1">
      <alignment/>
      <protection/>
    </xf>
    <xf numFmtId="165" fontId="0" fillId="0" borderId="13" xfId="0" applyNumberFormat="1" applyBorder="1" applyAlignment="1" applyProtection="1">
      <alignment/>
      <protection/>
    </xf>
    <xf numFmtId="0" fontId="0" fillId="0" borderId="22" xfId="0" applyBorder="1" applyAlignment="1" applyProtection="1">
      <alignment/>
      <protection/>
    </xf>
    <xf numFmtId="0" fontId="0" fillId="0" borderId="11" xfId="0" applyBorder="1" applyAlignment="1" applyProtection="1">
      <alignment/>
      <protection/>
    </xf>
    <xf numFmtId="165" fontId="0" fillId="34" borderId="22" xfId="0" applyNumberFormat="1" applyFill="1" applyBorder="1" applyAlignment="1" applyProtection="1">
      <alignment/>
      <protection/>
    </xf>
    <xf numFmtId="0" fontId="0" fillId="34" borderId="22" xfId="0" applyFill="1" applyBorder="1" applyAlignment="1" applyProtection="1">
      <alignment/>
      <protection/>
    </xf>
    <xf numFmtId="0" fontId="0" fillId="34" borderId="11" xfId="0" applyFill="1" applyBorder="1" applyAlignment="1" applyProtection="1">
      <alignment/>
      <protection/>
    </xf>
    <xf numFmtId="165" fontId="0" fillId="0" borderId="30" xfId="0" applyNumberFormat="1" applyBorder="1" applyAlignment="1" applyProtection="1">
      <alignment/>
      <protection/>
    </xf>
    <xf numFmtId="10" fontId="0" fillId="0" borderId="30" xfId="59" applyNumberFormat="1" applyFont="1" applyBorder="1" applyAlignment="1" applyProtection="1">
      <alignment/>
      <protection/>
    </xf>
    <xf numFmtId="0" fontId="0" fillId="0" borderId="31" xfId="0" applyBorder="1" applyAlignment="1" applyProtection="1">
      <alignment/>
      <protection/>
    </xf>
    <xf numFmtId="174" fontId="0" fillId="3" borderId="11" xfId="0" applyNumberFormat="1" applyFont="1" applyFill="1" applyBorder="1" applyAlignment="1" applyProtection="1">
      <alignment horizontal="right"/>
      <protection/>
    </xf>
    <xf numFmtId="175" fontId="0" fillId="3" borderId="11" xfId="0" applyNumberFormat="1" applyFont="1" applyFill="1" applyBorder="1" applyAlignment="1" applyProtection="1">
      <alignment horizontal="right"/>
      <protection/>
    </xf>
    <xf numFmtId="175" fontId="0" fillId="10" borderId="28" xfId="0" applyNumberFormat="1" applyFont="1" applyFill="1" applyBorder="1" applyAlignment="1" applyProtection="1">
      <alignment/>
      <protection/>
    </xf>
    <xf numFmtId="175" fontId="0" fillId="10" borderId="29" xfId="0" applyNumberFormat="1" applyFont="1" applyFill="1" applyBorder="1" applyAlignment="1" applyProtection="1">
      <alignment/>
      <protection/>
    </xf>
    <xf numFmtId="175" fontId="0" fillId="0" borderId="22" xfId="0" applyNumberFormat="1" applyFont="1" applyBorder="1" applyAlignment="1" applyProtection="1">
      <alignment/>
      <protection/>
    </xf>
    <xf numFmtId="175" fontId="0" fillId="0" borderId="11" xfId="0" applyNumberFormat="1" applyFont="1" applyBorder="1" applyAlignment="1" applyProtection="1">
      <alignment/>
      <protection/>
    </xf>
    <xf numFmtId="175" fontId="0" fillId="34" borderId="22" xfId="0" applyNumberFormat="1" applyFont="1" applyFill="1" applyBorder="1" applyAlignment="1" applyProtection="1">
      <alignment/>
      <protection/>
    </xf>
    <xf numFmtId="175" fontId="0" fillId="34" borderId="11" xfId="0" applyNumberFormat="1" applyFont="1" applyFill="1" applyBorder="1" applyAlignment="1" applyProtection="1">
      <alignment/>
      <protection/>
    </xf>
    <xf numFmtId="175" fontId="0" fillId="0" borderId="31" xfId="0" applyNumberFormat="1" applyFont="1" applyBorder="1" applyAlignment="1" applyProtection="1">
      <alignment/>
      <protection/>
    </xf>
    <xf numFmtId="174" fontId="0" fillId="4" borderId="11" xfId="0" applyNumberFormat="1" applyFont="1" applyFill="1" applyBorder="1" applyAlignment="1" applyProtection="1">
      <alignment horizontal="right"/>
      <protection/>
    </xf>
    <xf numFmtId="175" fontId="0" fillId="4" borderId="11" xfId="0" applyNumberFormat="1" applyFont="1" applyFill="1" applyBorder="1" applyAlignment="1" applyProtection="1">
      <alignment horizontal="right"/>
      <protection/>
    </xf>
    <xf numFmtId="175" fontId="0" fillId="18" borderId="28" xfId="0" applyNumberFormat="1" applyFont="1" applyFill="1" applyBorder="1" applyAlignment="1" applyProtection="1">
      <alignment/>
      <protection/>
    </xf>
    <xf numFmtId="175" fontId="0" fillId="18" borderId="29" xfId="0" applyNumberFormat="1" applyFont="1" applyFill="1" applyBorder="1" applyAlignment="1" applyProtection="1">
      <alignment/>
      <protection/>
    </xf>
    <xf numFmtId="174" fontId="0" fillId="6" borderId="11" xfId="0" applyNumberFormat="1" applyFont="1" applyFill="1" applyBorder="1" applyAlignment="1" applyProtection="1">
      <alignment horizontal="right"/>
      <protection/>
    </xf>
    <xf numFmtId="175" fontId="0" fillId="6" borderId="11" xfId="0" applyNumberFormat="1" applyFont="1" applyFill="1" applyBorder="1" applyAlignment="1" applyProtection="1">
      <alignment horizontal="right"/>
      <protection/>
    </xf>
    <xf numFmtId="175" fontId="0" fillId="19" borderId="28" xfId="0" applyNumberFormat="1" applyFont="1" applyFill="1" applyBorder="1" applyAlignment="1" applyProtection="1">
      <alignment/>
      <protection/>
    </xf>
    <xf numFmtId="175" fontId="0" fillId="19" borderId="29" xfId="0" applyNumberFormat="1" applyFont="1" applyFill="1" applyBorder="1" applyAlignment="1" applyProtection="1">
      <alignment/>
      <protection/>
    </xf>
    <xf numFmtId="174" fontId="0" fillId="7" borderId="32" xfId="0" applyNumberFormat="1" applyFont="1" applyFill="1" applyBorder="1" applyAlignment="1" applyProtection="1">
      <alignment horizontal="right"/>
      <protection/>
    </xf>
    <xf numFmtId="175" fontId="0" fillId="7" borderId="32" xfId="0" applyNumberFormat="1" applyFont="1" applyFill="1" applyBorder="1" applyAlignment="1" applyProtection="1">
      <alignment horizontal="right"/>
      <protection/>
    </xf>
    <xf numFmtId="9" fontId="62" fillId="33" borderId="18" xfId="59" applyFont="1" applyFill="1" applyBorder="1" applyAlignment="1" applyProtection="1">
      <alignment horizontal="center"/>
      <protection/>
    </xf>
    <xf numFmtId="0" fontId="0" fillId="15" borderId="18" xfId="0" applyFill="1" applyBorder="1" applyAlignment="1" applyProtection="1">
      <alignment/>
      <protection/>
    </xf>
    <xf numFmtId="0" fontId="64" fillId="3" borderId="11" xfId="0" applyFont="1" applyFill="1" applyBorder="1" applyAlignment="1" applyProtection="1">
      <alignment horizontal="right"/>
      <protection/>
    </xf>
    <xf numFmtId="0" fontId="0" fillId="10" borderId="29" xfId="0" applyFill="1" applyBorder="1" applyAlignment="1" applyProtection="1">
      <alignment/>
      <protection/>
    </xf>
    <xf numFmtId="0" fontId="64" fillId="4" borderId="11" xfId="0" applyFont="1" applyFill="1" applyBorder="1" applyAlignment="1" applyProtection="1">
      <alignment horizontal="right"/>
      <protection/>
    </xf>
    <xf numFmtId="0" fontId="0" fillId="18" borderId="29" xfId="0" applyFill="1" applyBorder="1" applyAlignment="1" applyProtection="1">
      <alignment/>
      <protection/>
    </xf>
    <xf numFmtId="0" fontId="64" fillId="6" borderId="11" xfId="0" applyFont="1" applyFill="1" applyBorder="1" applyAlignment="1" applyProtection="1">
      <alignment horizontal="right"/>
      <protection/>
    </xf>
    <xf numFmtId="0" fontId="0" fillId="19" borderId="29" xfId="0" applyFill="1" applyBorder="1" applyAlignment="1" applyProtection="1">
      <alignment/>
      <protection/>
    </xf>
    <xf numFmtId="0" fontId="64" fillId="7" borderId="32" xfId="0" applyFont="1" applyFill="1" applyBorder="1" applyAlignment="1" applyProtection="1">
      <alignment horizontal="right"/>
      <protection/>
    </xf>
    <xf numFmtId="0" fontId="0" fillId="36" borderId="33" xfId="0" applyFill="1" applyBorder="1" applyAlignment="1" applyProtection="1">
      <alignment/>
      <protection/>
    </xf>
    <xf numFmtId="0" fontId="0" fillId="33" borderId="18" xfId="0" applyFill="1" applyBorder="1" applyAlignment="1" applyProtection="1">
      <alignment/>
      <protection/>
    </xf>
    <xf numFmtId="0" fontId="0" fillId="33" borderId="11" xfId="0" applyFill="1" applyBorder="1" applyAlignment="1" applyProtection="1">
      <alignment/>
      <protection/>
    </xf>
    <xf numFmtId="0" fontId="62" fillId="15" borderId="18" xfId="0" applyFont="1" applyFill="1" applyBorder="1" applyAlignment="1" applyProtection="1">
      <alignment horizontal="center"/>
      <protection/>
    </xf>
    <xf numFmtId="173" fontId="0" fillId="0" borderId="11" xfId="0" applyNumberFormat="1" applyFill="1" applyBorder="1" applyAlignment="1" applyProtection="1">
      <alignment/>
      <protection/>
    </xf>
    <xf numFmtId="173" fontId="0" fillId="0" borderId="11" xfId="0" applyNumberFormat="1" applyBorder="1" applyAlignment="1" applyProtection="1">
      <alignment/>
      <protection/>
    </xf>
    <xf numFmtId="0" fontId="65" fillId="3" borderId="11" xfId="0" applyNumberFormat="1" applyFont="1" applyFill="1" applyBorder="1" applyAlignment="1" applyProtection="1">
      <alignment horizontal="right"/>
      <protection/>
    </xf>
    <xf numFmtId="0" fontId="65" fillId="4" borderId="11" xfId="0" applyNumberFormat="1" applyFont="1" applyFill="1" applyBorder="1" applyAlignment="1" applyProtection="1">
      <alignment horizontal="right"/>
      <protection/>
    </xf>
    <xf numFmtId="0" fontId="65" fillId="6" borderId="11" xfId="0" applyNumberFormat="1" applyFont="1" applyFill="1" applyBorder="1" applyAlignment="1" applyProtection="1">
      <alignment horizontal="right"/>
      <protection/>
    </xf>
    <xf numFmtId="0" fontId="65" fillId="7" borderId="32" xfId="0" applyNumberFormat="1" applyFont="1" applyFill="1" applyBorder="1" applyAlignment="1" applyProtection="1">
      <alignment horizontal="right"/>
      <protection/>
    </xf>
    <xf numFmtId="0" fontId="11" fillId="3" borderId="11" xfId="0" applyNumberFormat="1" applyFont="1" applyFill="1" applyBorder="1" applyAlignment="1" applyProtection="1">
      <alignment horizontal="right"/>
      <protection/>
    </xf>
    <xf numFmtId="0" fontId="11" fillId="4" borderId="11" xfId="0" applyNumberFormat="1" applyFont="1" applyFill="1" applyBorder="1" applyAlignment="1" applyProtection="1">
      <alignment horizontal="right"/>
      <protection/>
    </xf>
    <xf numFmtId="0" fontId="11" fillId="6" borderId="11" xfId="0" applyNumberFormat="1" applyFont="1" applyFill="1" applyBorder="1" applyAlignment="1" applyProtection="1">
      <alignment horizontal="right"/>
      <protection/>
    </xf>
    <xf numFmtId="0" fontId="11" fillId="7" borderId="32" xfId="0" applyNumberFormat="1" applyFont="1" applyFill="1" applyBorder="1" applyAlignment="1" applyProtection="1">
      <alignment horizontal="right"/>
      <protection/>
    </xf>
    <xf numFmtId="0" fontId="0" fillId="0" borderId="0" xfId="0" applyAlignment="1" applyProtection="1">
      <alignment/>
      <protection/>
    </xf>
    <xf numFmtId="9" fontId="0" fillId="33" borderId="18" xfId="59" applyFont="1" applyFill="1" applyBorder="1" applyAlignment="1" applyProtection="1">
      <alignment/>
      <protection/>
    </xf>
    <xf numFmtId="0" fontId="62" fillId="33" borderId="17" xfId="0" applyFont="1" applyFill="1" applyBorder="1" applyAlignment="1" applyProtection="1">
      <alignment/>
      <protection/>
    </xf>
    <xf numFmtId="0" fontId="0" fillId="33" borderId="10" xfId="0" applyFill="1" applyBorder="1" applyAlignment="1" applyProtection="1">
      <alignment/>
      <protection/>
    </xf>
    <xf numFmtId="0" fontId="62" fillId="0" borderId="14" xfId="0" applyFont="1" applyBorder="1" applyAlignment="1" applyProtection="1">
      <alignment horizontal="right"/>
      <protection/>
    </xf>
    <xf numFmtId="0" fontId="46" fillId="0" borderId="0" xfId="0" applyFont="1" applyAlignment="1" applyProtection="1">
      <alignment/>
      <protection/>
    </xf>
    <xf numFmtId="0" fontId="46" fillId="0" borderId="0" xfId="0" applyFont="1" applyBorder="1" applyAlignment="1" applyProtection="1">
      <alignment/>
      <protection/>
    </xf>
    <xf numFmtId="0" fontId="8" fillId="0" borderId="13" xfId="0" applyFont="1" applyBorder="1" applyAlignment="1" applyProtection="1">
      <alignment horizontal="center"/>
      <protection/>
    </xf>
    <xf numFmtId="0" fontId="0" fillId="0" borderId="0" xfId="0" applyFont="1" applyBorder="1" applyAlignment="1" applyProtection="1">
      <alignment/>
      <protection/>
    </xf>
    <xf numFmtId="0" fontId="0" fillId="0" borderId="0" xfId="0" applyFont="1" applyAlignment="1" applyProtection="1">
      <alignment/>
      <protection/>
    </xf>
    <xf numFmtId="0" fontId="66" fillId="33" borderId="17" xfId="0" applyFont="1" applyFill="1" applyBorder="1" applyAlignment="1" applyProtection="1">
      <alignment/>
      <protection/>
    </xf>
    <xf numFmtId="39" fontId="0" fillId="33" borderId="17" xfId="0" applyNumberFormat="1" applyFill="1" applyBorder="1" applyAlignment="1" applyProtection="1">
      <alignment horizontal="left"/>
      <protection/>
    </xf>
    <xf numFmtId="39" fontId="62" fillId="33" borderId="17" xfId="0" applyNumberFormat="1" applyFont="1" applyFill="1" applyBorder="1" applyAlignment="1" applyProtection="1">
      <alignment/>
      <protection/>
    </xf>
    <xf numFmtId="167" fontId="66" fillId="36" borderId="33" xfId="0" applyNumberFormat="1" applyFont="1" applyFill="1" applyBorder="1" applyAlignment="1" applyProtection="1">
      <alignment horizontal="left"/>
      <protection/>
    </xf>
    <xf numFmtId="0" fontId="0" fillId="36" borderId="34" xfId="0" applyFill="1" applyBorder="1" applyAlignment="1" applyProtection="1">
      <alignment/>
      <protection/>
    </xf>
    <xf numFmtId="0" fontId="62" fillId="33" borderId="18" xfId="0" applyFont="1" applyFill="1" applyBorder="1" applyAlignment="1" applyProtection="1">
      <alignment horizontal="left"/>
      <protection/>
    </xf>
    <xf numFmtId="0" fontId="62" fillId="33" borderId="18" xfId="0" applyFont="1" applyFill="1" applyBorder="1" applyAlignment="1" applyProtection="1">
      <alignment horizontal="center"/>
      <protection/>
    </xf>
    <xf numFmtId="0" fontId="0" fillId="33" borderId="12" xfId="0" applyFill="1" applyBorder="1" applyAlignment="1" applyProtection="1">
      <alignment/>
      <protection/>
    </xf>
    <xf numFmtId="37" fontId="8" fillId="33" borderId="11" xfId="0" applyNumberFormat="1" applyFont="1" applyFill="1" applyBorder="1" applyAlignment="1" applyProtection="1">
      <alignment horizontal="right"/>
      <protection/>
    </xf>
    <xf numFmtId="37" fontId="0" fillId="33" borderId="11" xfId="0" applyNumberFormat="1" applyFill="1" applyBorder="1" applyAlignment="1" applyProtection="1">
      <alignment horizontal="right"/>
      <protection/>
    </xf>
    <xf numFmtId="0" fontId="0" fillId="33" borderId="0" xfId="0" applyFill="1" applyBorder="1" applyAlignment="1" applyProtection="1">
      <alignment/>
      <protection/>
    </xf>
    <xf numFmtId="37" fontId="0" fillId="33" borderId="18" xfId="0" applyNumberFormat="1" applyFill="1" applyBorder="1" applyAlignment="1" applyProtection="1">
      <alignment horizontal="right"/>
      <protection/>
    </xf>
    <xf numFmtId="0" fontId="62" fillId="0" borderId="17" xfId="0" applyFont="1" applyFill="1" applyBorder="1" applyAlignment="1" applyProtection="1">
      <alignment/>
      <protection/>
    </xf>
    <xf numFmtId="39" fontId="49" fillId="0" borderId="17" xfId="0" applyNumberFormat="1" applyFont="1" applyFill="1" applyBorder="1" applyAlignment="1" applyProtection="1">
      <alignment horizontal="center"/>
      <protection/>
    </xf>
    <xf numFmtId="0" fontId="0" fillId="0" borderId="35" xfId="0" applyFill="1" applyBorder="1" applyAlignment="1" applyProtection="1">
      <alignment/>
      <protection/>
    </xf>
    <xf numFmtId="0" fontId="62" fillId="15" borderId="18" xfId="0" applyNumberFormat="1" applyFont="1" applyFill="1" applyBorder="1" applyAlignment="1" applyProtection="1">
      <alignment/>
      <protection/>
    </xf>
    <xf numFmtId="164" fontId="8" fillId="15" borderId="18" xfId="0" applyNumberFormat="1" applyFont="1" applyFill="1" applyBorder="1" applyAlignment="1" applyProtection="1">
      <alignment/>
      <protection/>
    </xf>
    <xf numFmtId="164" fontId="0" fillId="15" borderId="18" xfId="0" applyNumberFormat="1" applyFill="1" applyBorder="1" applyAlignment="1" applyProtection="1">
      <alignment/>
      <protection/>
    </xf>
    <xf numFmtId="0" fontId="0" fillId="15" borderId="12" xfId="0" applyFill="1" applyBorder="1" applyAlignment="1" applyProtection="1">
      <alignment/>
      <protection/>
    </xf>
    <xf numFmtId="0" fontId="0" fillId="0" borderId="11" xfId="0" applyNumberFormat="1" applyBorder="1" applyAlignment="1" applyProtection="1">
      <alignment horizontal="right"/>
      <protection/>
    </xf>
    <xf numFmtId="0" fontId="0" fillId="34" borderId="11" xfId="0" applyNumberFormat="1" applyFill="1" applyBorder="1" applyAlignment="1" applyProtection="1">
      <alignment horizontal="right"/>
      <protection/>
    </xf>
    <xf numFmtId="173" fontId="0" fillId="34" borderId="11" xfId="0" applyNumberFormat="1" applyFill="1" applyBorder="1" applyAlignment="1" applyProtection="1">
      <alignment/>
      <protection/>
    </xf>
    <xf numFmtId="0" fontId="0" fillId="34" borderId="0" xfId="0" applyFill="1" applyAlignment="1" applyProtection="1">
      <alignment/>
      <protection/>
    </xf>
    <xf numFmtId="0" fontId="0" fillId="0" borderId="31" xfId="0" applyNumberFormat="1" applyBorder="1" applyAlignment="1" applyProtection="1">
      <alignment horizontal="right"/>
      <protection/>
    </xf>
    <xf numFmtId="173" fontId="0" fillId="0" borderId="31" xfId="0" applyNumberFormat="1" applyBorder="1" applyAlignment="1" applyProtection="1">
      <alignment/>
      <protection/>
    </xf>
    <xf numFmtId="0" fontId="0" fillId="0" borderId="36" xfId="0" applyBorder="1" applyAlignment="1" applyProtection="1">
      <alignment/>
      <protection/>
    </xf>
    <xf numFmtId="0" fontId="64" fillId="3" borderId="11" xfId="0" applyNumberFormat="1" applyFont="1" applyFill="1" applyBorder="1" applyAlignment="1" applyProtection="1">
      <alignment horizontal="right"/>
      <protection/>
    </xf>
    <xf numFmtId="0" fontId="64" fillId="3" borderId="0" xfId="0" applyFont="1" applyFill="1" applyBorder="1" applyAlignment="1" applyProtection="1">
      <alignment horizontal="right"/>
      <protection/>
    </xf>
    <xf numFmtId="0" fontId="62" fillId="10" borderId="29" xfId="0" applyNumberFormat="1" applyFont="1" applyFill="1" applyBorder="1" applyAlignment="1" applyProtection="1">
      <alignment/>
      <protection/>
    </xf>
    <xf numFmtId="164" fontId="0" fillId="10" borderId="29" xfId="0" applyNumberFormat="1" applyFill="1" applyBorder="1" applyAlignment="1" applyProtection="1">
      <alignment/>
      <protection/>
    </xf>
    <xf numFmtId="0" fontId="0" fillId="10" borderId="37" xfId="0" applyFill="1" applyBorder="1" applyAlignment="1" applyProtection="1">
      <alignment/>
      <protection/>
    </xf>
    <xf numFmtId="166" fontId="11" fillId="4" borderId="11" xfId="0" applyNumberFormat="1" applyFont="1" applyFill="1" applyBorder="1" applyAlignment="1" applyProtection="1">
      <alignment horizontal="right"/>
      <protection/>
    </xf>
    <xf numFmtId="0" fontId="64" fillId="4" borderId="0" xfId="0" applyFont="1" applyFill="1" applyBorder="1" applyAlignment="1" applyProtection="1">
      <alignment horizontal="right"/>
      <protection/>
    </xf>
    <xf numFmtId="0" fontId="62" fillId="18" borderId="29" xfId="0" applyNumberFormat="1" applyFont="1" applyFill="1" applyBorder="1" applyAlignment="1" applyProtection="1">
      <alignment/>
      <protection/>
    </xf>
    <xf numFmtId="164" fontId="0" fillId="18" borderId="29" xfId="0" applyNumberFormat="1" applyFill="1" applyBorder="1" applyAlignment="1" applyProtection="1">
      <alignment/>
      <protection/>
    </xf>
    <xf numFmtId="0" fontId="0" fillId="18" borderId="37" xfId="0" applyFill="1" applyBorder="1" applyAlignment="1" applyProtection="1">
      <alignment/>
      <protection/>
    </xf>
    <xf numFmtId="166" fontId="11" fillId="6" borderId="11" xfId="0" applyNumberFormat="1" applyFont="1" applyFill="1" applyBorder="1" applyAlignment="1" applyProtection="1">
      <alignment horizontal="right"/>
      <protection/>
    </xf>
    <xf numFmtId="0" fontId="64" fillId="6" borderId="0" xfId="0" applyFont="1" applyFill="1" applyBorder="1" applyAlignment="1" applyProtection="1">
      <alignment horizontal="right"/>
      <protection/>
    </xf>
    <xf numFmtId="0" fontId="62" fillId="19" borderId="29" xfId="0" applyNumberFormat="1" applyFont="1" applyFill="1" applyBorder="1" applyAlignment="1" applyProtection="1">
      <alignment/>
      <protection/>
    </xf>
    <xf numFmtId="164" fontId="0" fillId="19" borderId="29" xfId="0" applyNumberFormat="1" applyFill="1" applyBorder="1" applyAlignment="1" applyProtection="1">
      <alignment/>
      <protection/>
    </xf>
    <xf numFmtId="0" fontId="0" fillId="19" borderId="37" xfId="0" applyFill="1" applyBorder="1" applyAlignment="1" applyProtection="1">
      <alignment/>
      <protection/>
    </xf>
    <xf numFmtId="166" fontId="11" fillId="7" borderId="32" xfId="0" applyNumberFormat="1" applyFont="1" applyFill="1" applyBorder="1" applyAlignment="1" applyProtection="1">
      <alignment horizontal="right"/>
      <protection/>
    </xf>
    <xf numFmtId="0" fontId="64" fillId="7" borderId="38" xfId="0" applyFont="1" applyFill="1" applyBorder="1" applyAlignment="1" applyProtection="1">
      <alignment horizontal="right"/>
      <protection/>
    </xf>
    <xf numFmtId="37" fontId="8" fillId="33" borderId="18" xfId="0" applyNumberFormat="1" applyFont="1" applyFill="1" applyBorder="1" applyAlignment="1" applyProtection="1">
      <alignment horizontal="right"/>
      <protection/>
    </xf>
    <xf numFmtId="0" fontId="67" fillId="0" borderId="27" xfId="0" applyFont="1" applyBorder="1" applyAlignment="1" applyProtection="1">
      <alignment horizontal="center"/>
      <protection/>
    </xf>
    <xf numFmtId="0" fontId="67" fillId="0" borderId="39" xfId="0" applyFont="1" applyBorder="1" applyAlignment="1" applyProtection="1">
      <alignment horizontal="center"/>
      <protection/>
    </xf>
    <xf numFmtId="0" fontId="67" fillId="0" borderId="40" xfId="0" applyFont="1" applyFill="1" applyBorder="1" applyAlignment="1" applyProtection="1">
      <alignment horizontal="center"/>
      <protection/>
    </xf>
    <xf numFmtId="0" fontId="68" fillId="0" borderId="22" xfId="0" applyFont="1" applyBorder="1" applyAlignment="1" applyProtection="1">
      <alignment horizontal="center"/>
      <protection/>
    </xf>
    <xf numFmtId="0" fontId="68" fillId="0" borderId="0" xfId="0" applyFont="1" applyBorder="1" applyAlignment="1" applyProtection="1">
      <alignment horizontal="center"/>
      <protection/>
    </xf>
    <xf numFmtId="171" fontId="68" fillId="0" borderId="41" xfId="0" applyNumberFormat="1" applyFont="1" applyFill="1" applyBorder="1" applyAlignment="1" applyProtection="1">
      <alignment horizontal="center"/>
      <protection/>
    </xf>
    <xf numFmtId="0" fontId="68" fillId="0" borderId="19" xfId="0" applyFont="1" applyBorder="1" applyAlignment="1" applyProtection="1">
      <alignment horizontal="center"/>
      <protection/>
    </xf>
    <xf numFmtId="0" fontId="68" fillId="0" borderId="12" xfId="0" applyFont="1" applyBorder="1" applyAlignment="1" applyProtection="1">
      <alignment horizontal="center"/>
      <protection/>
    </xf>
    <xf numFmtId="171" fontId="68" fillId="0" borderId="42" xfId="0" applyNumberFormat="1" applyFont="1" applyFill="1" applyBorder="1" applyAlignment="1" applyProtection="1">
      <alignment horizontal="center"/>
      <protection/>
    </xf>
    <xf numFmtId="0" fontId="67" fillId="0" borderId="14" xfId="0" applyFont="1" applyFill="1" applyBorder="1" applyAlignment="1" applyProtection="1">
      <alignment/>
      <protection/>
    </xf>
    <xf numFmtId="0" fontId="69" fillId="0" borderId="39" xfId="0" applyFont="1" applyFill="1" applyBorder="1" applyAlignment="1" applyProtection="1">
      <alignment horizontal="center"/>
      <protection/>
    </xf>
    <xf numFmtId="0" fontId="69" fillId="0" borderId="43" xfId="0" applyFont="1" applyFill="1" applyBorder="1" applyAlignment="1" applyProtection="1">
      <alignment horizontal="center"/>
      <protection/>
    </xf>
    <xf numFmtId="0" fontId="69" fillId="0" borderId="11" xfId="0" applyFont="1" applyFill="1" applyBorder="1" applyAlignment="1" applyProtection="1">
      <alignment/>
      <protection/>
    </xf>
    <xf numFmtId="0" fontId="67" fillId="0" borderId="0" xfId="0" applyFont="1" applyFill="1" applyBorder="1" applyAlignment="1" applyProtection="1">
      <alignment horizontal="center"/>
      <protection/>
    </xf>
    <xf numFmtId="0" fontId="68" fillId="0" borderId="0" xfId="0" applyFont="1" applyFill="1" applyBorder="1" applyAlignment="1" applyProtection="1">
      <alignment horizontal="center"/>
      <protection/>
    </xf>
    <xf numFmtId="0" fontId="68" fillId="0" borderId="23" xfId="0" applyFont="1" applyFill="1" applyBorder="1" applyAlignment="1" applyProtection="1">
      <alignment horizontal="center"/>
      <protection/>
    </xf>
    <xf numFmtId="0" fontId="69" fillId="0" borderId="18" xfId="0" applyFont="1" applyFill="1" applyBorder="1" applyAlignment="1" applyProtection="1">
      <alignment/>
      <protection/>
    </xf>
    <xf numFmtId="0" fontId="68" fillId="0" borderId="12" xfId="0" applyFont="1" applyFill="1" applyBorder="1" applyAlignment="1" applyProtection="1">
      <alignment horizontal="center"/>
      <protection/>
    </xf>
    <xf numFmtId="0" fontId="67" fillId="0" borderId="25" xfId="0" applyFont="1" applyFill="1" applyBorder="1" applyAlignment="1" applyProtection="1">
      <alignment horizontal="center"/>
      <protection/>
    </xf>
    <xf numFmtId="0" fontId="70" fillId="0" borderId="0" xfId="0" applyFont="1" applyAlignment="1">
      <alignment/>
    </xf>
    <xf numFmtId="0" fontId="70" fillId="0" borderId="0" xfId="0" applyFont="1" applyAlignment="1">
      <alignment horizontal="right"/>
    </xf>
    <xf numFmtId="0" fontId="71" fillId="0" borderId="12" xfId="0" applyFont="1" applyFill="1" applyBorder="1" applyAlignment="1" applyProtection="1">
      <alignment horizontal="center"/>
      <protection/>
    </xf>
    <xf numFmtId="0" fontId="70" fillId="0" borderId="0" xfId="0" applyFont="1" applyBorder="1" applyAlignment="1" applyProtection="1">
      <alignment/>
      <protection/>
    </xf>
    <xf numFmtId="0" fontId="72" fillId="0" borderId="12" xfId="0" applyFont="1" applyBorder="1" applyAlignment="1">
      <alignment/>
    </xf>
    <xf numFmtId="0" fontId="70" fillId="0" borderId="0" xfId="0" applyFont="1" applyBorder="1" applyAlignment="1">
      <alignment/>
    </xf>
    <xf numFmtId="0" fontId="73" fillId="0" borderId="0" xfId="0" applyFont="1" applyBorder="1" applyAlignment="1">
      <alignment/>
    </xf>
    <xf numFmtId="0" fontId="73" fillId="0" borderId="0" xfId="0" applyFont="1" applyAlignment="1">
      <alignment horizontal="right"/>
    </xf>
    <xf numFmtId="170" fontId="71" fillId="0" borderId="44" xfId="0" applyNumberFormat="1" applyFont="1" applyFill="1" applyBorder="1" applyAlignment="1" applyProtection="1">
      <alignment horizontal="center"/>
      <protection/>
    </xf>
    <xf numFmtId="0" fontId="71" fillId="0" borderId="12" xfId="0" applyFont="1" applyBorder="1" applyAlignment="1">
      <alignment/>
    </xf>
    <xf numFmtId="170" fontId="23" fillId="0" borderId="44" xfId="0" applyNumberFormat="1" applyFont="1" applyFill="1" applyBorder="1" applyAlignment="1" applyProtection="1">
      <alignment horizontal="center"/>
      <protection/>
    </xf>
    <xf numFmtId="0" fontId="71" fillId="0" borderId="39" xfId="0" applyFont="1" applyBorder="1" applyAlignment="1">
      <alignment/>
    </xf>
    <xf numFmtId="0" fontId="71" fillId="0" borderId="44" xfId="0" applyFont="1" applyFill="1" applyBorder="1" applyAlignment="1" applyProtection="1">
      <alignment horizontal="center"/>
      <protection/>
    </xf>
    <xf numFmtId="0" fontId="74" fillId="0" borderId="0" xfId="0" applyFont="1" applyBorder="1" applyAlignment="1">
      <alignment/>
    </xf>
    <xf numFmtId="0" fontId="74" fillId="0" borderId="12" xfId="0" applyFont="1" applyBorder="1" applyAlignment="1">
      <alignment/>
    </xf>
    <xf numFmtId="0" fontId="73" fillId="0" borderId="0" xfId="0" applyFont="1" applyBorder="1" applyAlignment="1">
      <alignment horizontal="right"/>
    </xf>
    <xf numFmtId="0" fontId="71" fillId="0" borderId="0" xfId="0" applyFont="1" applyFill="1" applyBorder="1" applyAlignment="1" applyProtection="1">
      <alignment horizontal="center"/>
      <protection/>
    </xf>
    <xf numFmtId="9" fontId="71" fillId="0" borderId="12" xfId="0" applyNumberFormat="1" applyFont="1" applyFill="1" applyBorder="1" applyAlignment="1" applyProtection="1">
      <alignment horizontal="center"/>
      <protection/>
    </xf>
    <xf numFmtId="0" fontId="70" fillId="0" borderId="0" xfId="0" applyFont="1" applyAlignment="1">
      <alignment horizontal="center"/>
    </xf>
    <xf numFmtId="0" fontId="75" fillId="0" borderId="0" xfId="0" applyFont="1" applyAlignment="1">
      <alignment/>
    </xf>
    <xf numFmtId="0" fontId="75" fillId="0" borderId="0" xfId="0" applyFont="1" applyFill="1" applyBorder="1" applyAlignment="1">
      <alignment/>
    </xf>
    <xf numFmtId="39" fontId="76" fillId="35" borderId="18" xfId="0" applyNumberFormat="1" applyFont="1" applyFill="1" applyBorder="1" applyAlignment="1" applyProtection="1">
      <alignment horizontal="right"/>
      <protection hidden="1"/>
    </xf>
    <xf numFmtId="0" fontId="77" fillId="0" borderId="0" xfId="0" applyFont="1" applyAlignment="1">
      <alignment/>
    </xf>
    <xf numFmtId="0" fontId="78" fillId="0" borderId="0" xfId="0" applyFont="1" applyAlignment="1">
      <alignment/>
    </xf>
    <xf numFmtId="0" fontId="8" fillId="0" borderId="22" xfId="0" applyFont="1" applyBorder="1" applyAlignment="1" applyProtection="1">
      <alignment horizontal="center"/>
      <protection/>
    </xf>
    <xf numFmtId="0" fontId="8" fillId="0" borderId="19" xfId="0" applyFont="1" applyBorder="1" applyAlignment="1" applyProtection="1">
      <alignment horizontal="center"/>
      <protection/>
    </xf>
    <xf numFmtId="0" fontId="0" fillId="0" borderId="0" xfId="0" applyAlignment="1" quotePrefix="1">
      <alignment/>
    </xf>
    <xf numFmtId="170" fontId="0" fillId="0" borderId="0" xfId="0" applyNumberFormat="1" applyAlignment="1" applyProtection="1">
      <alignment/>
      <protection hidden="1"/>
    </xf>
    <xf numFmtId="0" fontId="79" fillId="37" borderId="0" xfId="53" applyFont="1" applyFill="1" applyAlignment="1" applyProtection="1">
      <alignment horizontal="center" vertical="center"/>
      <protection/>
    </xf>
    <xf numFmtId="0" fontId="62" fillId="33" borderId="26" xfId="0" applyFont="1" applyFill="1" applyBorder="1" applyAlignment="1" applyProtection="1">
      <alignment horizontal="left"/>
      <protection/>
    </xf>
    <xf numFmtId="0" fontId="62" fillId="33" borderId="45" xfId="0" applyFont="1" applyFill="1" applyBorder="1" applyAlignment="1" applyProtection="1">
      <alignment horizontal="left"/>
      <protection/>
    </xf>
    <xf numFmtId="168" fontId="64" fillId="36" borderId="46" xfId="0" applyNumberFormat="1" applyFont="1" applyFill="1" applyBorder="1" applyAlignment="1" applyProtection="1">
      <alignment horizontal="center"/>
      <protection/>
    </xf>
    <xf numFmtId="168" fontId="64" fillId="36" borderId="34" xfId="0" applyNumberFormat="1" applyFont="1" applyFill="1" applyBorder="1" applyAlignment="1" applyProtection="1">
      <alignment horizontal="center"/>
      <protection/>
    </xf>
    <xf numFmtId="168" fontId="64" fillId="36" borderId="47" xfId="0" applyNumberFormat="1" applyFont="1" applyFill="1" applyBorder="1" applyAlignment="1" applyProtection="1">
      <alignment horizontal="center"/>
      <protection/>
    </xf>
    <xf numFmtId="0" fontId="62" fillId="33" borderId="48" xfId="0" applyFont="1" applyFill="1" applyBorder="1" applyAlignment="1" applyProtection="1">
      <alignment horizontal="center"/>
      <protection/>
    </xf>
    <xf numFmtId="0" fontId="62" fillId="33" borderId="49" xfId="0" applyFont="1" applyFill="1" applyBorder="1" applyAlignment="1" applyProtection="1">
      <alignment horizontal="center"/>
      <protection/>
    </xf>
    <xf numFmtId="0" fontId="62" fillId="33" borderId="22" xfId="0" applyFont="1" applyFill="1" applyBorder="1" applyAlignment="1" applyProtection="1">
      <alignment horizontal="center"/>
      <protection/>
    </xf>
    <xf numFmtId="0" fontId="62" fillId="33" borderId="23" xfId="0" applyFont="1" applyFill="1" applyBorder="1" applyAlignment="1" applyProtection="1">
      <alignment horizontal="center"/>
      <protection/>
    </xf>
    <xf numFmtId="0" fontId="62" fillId="33" borderId="19" xfId="0" applyFont="1" applyFill="1" applyBorder="1" applyAlignment="1" applyProtection="1">
      <alignment horizontal="center"/>
      <protection/>
    </xf>
    <xf numFmtId="0" fontId="62" fillId="33" borderId="25" xfId="0" applyFont="1" applyFill="1" applyBorder="1" applyAlignment="1" applyProtection="1">
      <alignment horizontal="center"/>
      <protection/>
    </xf>
    <xf numFmtId="9" fontId="62" fillId="33" borderId="18" xfId="59" applyFont="1" applyFill="1" applyBorder="1" applyAlignment="1" applyProtection="1">
      <alignment horizontal="center"/>
      <protection/>
    </xf>
    <xf numFmtId="9" fontId="62" fillId="33" borderId="28" xfId="59" applyFont="1" applyFill="1" applyBorder="1" applyAlignment="1" applyProtection="1">
      <alignment horizontal="center"/>
      <protection/>
    </xf>
    <xf numFmtId="9" fontId="62" fillId="33" borderId="37" xfId="59" applyFont="1" applyFill="1" applyBorder="1" applyAlignment="1" applyProtection="1">
      <alignment horizontal="center"/>
      <protection/>
    </xf>
    <xf numFmtId="9" fontId="62" fillId="33" borderId="50" xfId="59" applyFont="1" applyFill="1" applyBorder="1" applyAlignment="1" applyProtection="1">
      <alignment horizontal="center"/>
      <protection/>
    </xf>
    <xf numFmtId="0" fontId="0" fillId="0" borderId="49" xfId="0" applyBorder="1" applyAlignment="1" applyProtection="1">
      <alignment/>
      <protection/>
    </xf>
    <xf numFmtId="0" fontId="0" fillId="0" borderId="22" xfId="0" applyBorder="1" applyAlignment="1" applyProtection="1">
      <alignment/>
      <protection/>
    </xf>
    <xf numFmtId="0" fontId="0" fillId="0" borderId="23" xfId="0" applyBorder="1" applyAlignment="1" applyProtection="1">
      <alignment/>
      <protection/>
    </xf>
    <xf numFmtId="0" fontId="0" fillId="0" borderId="19" xfId="0" applyBorder="1" applyAlignment="1" applyProtection="1">
      <alignment/>
      <protection/>
    </xf>
    <xf numFmtId="0" fontId="0" fillId="0" borderId="25" xfId="0" applyBorder="1" applyAlignment="1" applyProtection="1">
      <alignment/>
      <protection/>
    </xf>
    <xf numFmtId="0" fontId="62" fillId="36" borderId="27" xfId="0" applyFont="1" applyFill="1" applyBorder="1" applyAlignment="1" applyProtection="1">
      <alignment horizontal="right"/>
      <protection hidden="1"/>
    </xf>
    <xf numFmtId="0" fontId="62" fillId="36" borderId="39" xfId="0" applyFont="1" applyFill="1" applyBorder="1" applyAlignment="1" applyProtection="1">
      <alignment horizontal="right"/>
      <protection hidden="1"/>
    </xf>
    <xf numFmtId="0" fontId="62" fillId="36" borderId="43" xfId="0" applyFont="1" applyFill="1" applyBorder="1" applyAlignment="1" applyProtection="1">
      <alignment horizontal="right"/>
      <protection hidden="1"/>
    </xf>
    <xf numFmtId="39" fontId="15" fillId="36" borderId="27" xfId="0" applyNumberFormat="1" applyFont="1" applyFill="1" applyBorder="1" applyAlignment="1" applyProtection="1">
      <alignment horizontal="right"/>
      <protection hidden="1"/>
    </xf>
    <xf numFmtId="39" fontId="15" fillId="36" borderId="39" xfId="0" applyNumberFormat="1" applyFont="1" applyFill="1" applyBorder="1" applyAlignment="1" applyProtection="1">
      <alignment horizontal="right"/>
      <protection hidden="1"/>
    </xf>
    <xf numFmtId="39" fontId="15" fillId="36" borderId="43" xfId="0" applyNumberFormat="1" applyFont="1" applyFill="1" applyBorder="1" applyAlignment="1" applyProtection="1">
      <alignment horizontal="right"/>
      <protection hidden="1"/>
    </xf>
    <xf numFmtId="39" fontId="15" fillId="35" borderId="27" xfId="0" applyNumberFormat="1" applyFont="1" applyFill="1" applyBorder="1" applyAlignment="1" applyProtection="1">
      <alignment horizontal="center"/>
      <protection hidden="1"/>
    </xf>
    <xf numFmtId="39" fontId="15" fillId="35" borderId="39" xfId="0" applyNumberFormat="1" applyFont="1" applyFill="1" applyBorder="1" applyAlignment="1" applyProtection="1">
      <alignment horizontal="center"/>
      <protection hidden="1"/>
    </xf>
    <xf numFmtId="39" fontId="15" fillId="35" borderId="43" xfId="0" applyNumberFormat="1" applyFont="1" applyFill="1" applyBorder="1" applyAlignment="1" applyProtection="1">
      <alignment horizont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b/>
        <i val="0"/>
      </font>
      <fill>
        <patternFill>
          <bgColor rgb="FFFF000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25"/>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125"/>
          <c:y val="0.143"/>
          <c:w val="0.974"/>
          <c:h val="0.86125"/>
        </c:manualLayout>
      </c:layout>
      <c:lineChart>
        <c:grouping val="standard"/>
        <c:varyColors val="0"/>
        <c:ser>
          <c:idx val="0"/>
          <c:order val="0"/>
          <c:tx>
            <c:strRef>
              <c:f>Stats!$A$6</c:f>
              <c:strCache>
                <c:ptCount val="1"/>
                <c:pt idx="0">
                  <c:v>Squat</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Stats!$B$2:$N$2</c:f>
              <c:strCache/>
            </c:strRef>
          </c:cat>
          <c:val>
            <c:numRef>
              <c:f>Stats!$B$6:$N$6</c:f>
              <c:numCache/>
            </c:numRef>
          </c:val>
          <c:smooth val="0"/>
        </c:ser>
        <c:marker val="1"/>
        <c:axId val="12257131"/>
        <c:axId val="43205316"/>
      </c:lineChart>
      <c:catAx>
        <c:axId val="12257131"/>
        <c:scaling>
          <c:orientation val="minMax"/>
        </c:scaling>
        <c:axPos val="b"/>
        <c:delete val="0"/>
        <c:numFmt formatCode="[$-409]d\-mmm\-yy;@"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3205316"/>
        <c:crosses val="autoZero"/>
        <c:auto val="0"/>
        <c:lblOffset val="100"/>
        <c:tickLblSkip val="1"/>
        <c:noMultiLvlLbl val="0"/>
      </c:catAx>
      <c:valAx>
        <c:axId val="4320531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25713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125"/>
          <c:y val="0.143"/>
          <c:w val="0.974"/>
          <c:h val="0.86125"/>
        </c:manualLayout>
      </c:layout>
      <c:lineChart>
        <c:grouping val="standard"/>
        <c:varyColors val="0"/>
        <c:ser>
          <c:idx val="0"/>
          <c:order val="0"/>
          <c:tx>
            <c:strRef>
              <c:f>Stats!$A$7</c:f>
              <c:strCache>
                <c:ptCount val="1"/>
                <c:pt idx="0">
                  <c:v>Bench Press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Stats!$B$2:$N$2</c:f>
              <c:strCache/>
            </c:strRef>
          </c:cat>
          <c:val>
            <c:numRef>
              <c:f>Stats!$B$7:$N$7</c:f>
              <c:numCache/>
            </c:numRef>
          </c:val>
          <c:smooth val="0"/>
        </c:ser>
        <c:marker val="1"/>
        <c:axId val="53303525"/>
        <c:axId val="9969678"/>
      </c:lineChart>
      <c:catAx>
        <c:axId val="53303525"/>
        <c:scaling>
          <c:orientation val="minMax"/>
        </c:scaling>
        <c:axPos val="b"/>
        <c:delete val="0"/>
        <c:numFmt formatCode="[$-409]d\-mmm\-yy;@"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9969678"/>
        <c:crosses val="autoZero"/>
        <c:auto val="0"/>
        <c:lblOffset val="100"/>
        <c:tickLblSkip val="1"/>
        <c:noMultiLvlLbl val="0"/>
      </c:catAx>
      <c:valAx>
        <c:axId val="996967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30352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25"/>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125"/>
          <c:y val="0.143"/>
          <c:w val="0.974"/>
          <c:h val="0.86125"/>
        </c:manualLayout>
      </c:layout>
      <c:lineChart>
        <c:grouping val="standard"/>
        <c:varyColors val="0"/>
        <c:ser>
          <c:idx val="0"/>
          <c:order val="0"/>
          <c:tx>
            <c:strRef>
              <c:f>Stats!$A$8</c:f>
              <c:strCache>
                <c:ptCount val="1"/>
                <c:pt idx="0">
                  <c:v>Deadlift</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Stats!$B$2:$N$2</c:f>
              <c:strCache/>
            </c:strRef>
          </c:cat>
          <c:val>
            <c:numRef>
              <c:f>Stats!$B$8:$N$8</c:f>
              <c:numCache/>
            </c:numRef>
          </c:val>
          <c:smooth val="0"/>
        </c:ser>
        <c:marker val="1"/>
        <c:axId val="22618239"/>
        <c:axId val="2237560"/>
      </c:lineChart>
      <c:catAx>
        <c:axId val="22618239"/>
        <c:scaling>
          <c:orientation val="minMax"/>
        </c:scaling>
        <c:axPos val="b"/>
        <c:delete val="0"/>
        <c:numFmt formatCode="[$-409]d\-mmm\-yy;@"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237560"/>
        <c:crosses val="autoZero"/>
        <c:auto val="0"/>
        <c:lblOffset val="100"/>
        <c:tickLblSkip val="1"/>
        <c:noMultiLvlLbl val="0"/>
      </c:catAx>
      <c:valAx>
        <c:axId val="223756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61823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125"/>
          <c:y val="0.143"/>
          <c:w val="0.974"/>
          <c:h val="0.86125"/>
        </c:manualLayout>
      </c:layout>
      <c:lineChart>
        <c:grouping val="standard"/>
        <c:varyColors val="0"/>
        <c:ser>
          <c:idx val="0"/>
          <c:order val="0"/>
          <c:tx>
            <c:strRef>
              <c:f>Stats!$A$9</c:f>
              <c:strCache>
                <c:ptCount val="1"/>
                <c:pt idx="0">
                  <c:v>Shoulder Press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Stats!$B$2:$N$2</c:f>
              <c:strCache/>
            </c:strRef>
          </c:cat>
          <c:val>
            <c:numRef>
              <c:f>Stats!$B$9:$N$9</c:f>
              <c:numCache/>
            </c:numRef>
          </c:val>
          <c:smooth val="0"/>
        </c:ser>
        <c:marker val="1"/>
        <c:axId val="20138041"/>
        <c:axId val="47024642"/>
      </c:lineChart>
      <c:catAx>
        <c:axId val="20138041"/>
        <c:scaling>
          <c:orientation val="minMax"/>
        </c:scaling>
        <c:axPos val="b"/>
        <c:delete val="0"/>
        <c:numFmt formatCode="[$-409]d\-mmm\-yy;@"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7024642"/>
        <c:crosses val="autoZero"/>
        <c:auto val="0"/>
        <c:lblOffset val="100"/>
        <c:tickLblSkip val="1"/>
        <c:noMultiLvlLbl val="0"/>
      </c:catAx>
      <c:valAx>
        <c:axId val="4702464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13804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125"/>
          <c:y val="0.143"/>
          <c:w val="0.974"/>
          <c:h val="0.86125"/>
        </c:manualLayout>
      </c:layout>
      <c:lineChart>
        <c:grouping val="standard"/>
        <c:varyColors val="0"/>
        <c:ser>
          <c:idx val="0"/>
          <c:order val="0"/>
          <c:tx>
            <c:strRef>
              <c:f>Stats!$A$11</c:f>
              <c:strCache>
                <c:ptCount val="1"/>
                <c:pt idx="0">
                  <c:v>Squat Ratio</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Stats!$B$2:$N$2</c:f>
              <c:strCache/>
            </c:strRef>
          </c:cat>
          <c:val>
            <c:numRef>
              <c:f>Stats!$B$11:$N$11</c:f>
              <c:numCache/>
            </c:numRef>
          </c:val>
          <c:smooth val="0"/>
        </c:ser>
        <c:marker val="1"/>
        <c:axId val="20568595"/>
        <c:axId val="50899628"/>
      </c:lineChart>
      <c:catAx>
        <c:axId val="20568595"/>
        <c:scaling>
          <c:orientation val="minMax"/>
        </c:scaling>
        <c:axPos val="b"/>
        <c:delete val="0"/>
        <c:numFmt formatCode="[$-409]d\-mmm\-yy;@"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0899628"/>
        <c:crosses val="autoZero"/>
        <c:auto val="0"/>
        <c:lblOffset val="100"/>
        <c:tickLblSkip val="1"/>
        <c:noMultiLvlLbl val="0"/>
      </c:catAx>
      <c:valAx>
        <c:axId val="5089962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56859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125"/>
          <c:y val="0.143"/>
          <c:w val="0.974"/>
          <c:h val="0.86125"/>
        </c:manualLayout>
      </c:layout>
      <c:lineChart>
        <c:grouping val="standard"/>
        <c:varyColors val="0"/>
        <c:ser>
          <c:idx val="0"/>
          <c:order val="0"/>
          <c:tx>
            <c:strRef>
              <c:f>Stats!$A$12</c:f>
              <c:strCache>
                <c:ptCount val="1"/>
                <c:pt idx="0">
                  <c:v>Bench Press Ratio</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Stats!$B$2:$N$2</c:f>
              <c:strCache/>
            </c:strRef>
          </c:cat>
          <c:val>
            <c:numRef>
              <c:f>Stats!$B$12:$N$12</c:f>
              <c:numCache/>
            </c:numRef>
          </c:val>
          <c:smooth val="0"/>
        </c:ser>
        <c:marker val="1"/>
        <c:axId val="55443469"/>
        <c:axId val="29229174"/>
      </c:lineChart>
      <c:catAx>
        <c:axId val="55443469"/>
        <c:scaling>
          <c:orientation val="minMax"/>
        </c:scaling>
        <c:axPos val="b"/>
        <c:delete val="0"/>
        <c:numFmt formatCode="[$-409]d\-mmm\-yy;@"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9229174"/>
        <c:crosses val="autoZero"/>
        <c:auto val="0"/>
        <c:lblOffset val="100"/>
        <c:tickLblSkip val="1"/>
        <c:noMultiLvlLbl val="0"/>
      </c:catAx>
      <c:valAx>
        <c:axId val="2922917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544346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25"/>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125"/>
          <c:y val="0.143"/>
          <c:w val="0.974"/>
          <c:h val="0.86125"/>
        </c:manualLayout>
      </c:layout>
      <c:lineChart>
        <c:grouping val="standard"/>
        <c:varyColors val="0"/>
        <c:ser>
          <c:idx val="0"/>
          <c:order val="0"/>
          <c:tx>
            <c:strRef>
              <c:f>Stats!$A$13</c:f>
              <c:strCache>
                <c:ptCount val="1"/>
                <c:pt idx="0">
                  <c:v>Deadlift Ratio</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Stats!$B$2:$N$2</c:f>
              <c:strCache/>
            </c:strRef>
          </c:cat>
          <c:val>
            <c:numRef>
              <c:f>Stats!$B$13:$N$13</c:f>
              <c:numCache/>
            </c:numRef>
          </c:val>
          <c:smooth val="0"/>
        </c:ser>
        <c:marker val="1"/>
        <c:axId val="61735975"/>
        <c:axId val="18752864"/>
      </c:lineChart>
      <c:catAx>
        <c:axId val="61735975"/>
        <c:scaling>
          <c:orientation val="minMax"/>
        </c:scaling>
        <c:axPos val="b"/>
        <c:delete val="0"/>
        <c:numFmt formatCode="[$-409]d\-mmm\-yy;@"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8752864"/>
        <c:crosses val="autoZero"/>
        <c:auto val="0"/>
        <c:lblOffset val="100"/>
        <c:tickLblSkip val="1"/>
        <c:noMultiLvlLbl val="0"/>
      </c:catAx>
      <c:valAx>
        <c:axId val="1875286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73597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125"/>
          <c:y val="0.143"/>
          <c:w val="0.974"/>
          <c:h val="0.86125"/>
        </c:manualLayout>
      </c:layout>
      <c:lineChart>
        <c:grouping val="standard"/>
        <c:varyColors val="0"/>
        <c:ser>
          <c:idx val="0"/>
          <c:order val="0"/>
          <c:tx>
            <c:strRef>
              <c:f>Stats!$A$14</c:f>
              <c:strCache>
                <c:ptCount val="1"/>
                <c:pt idx="0">
                  <c:v>Shoulder Press Ratio</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Stats!$B$2:$N$2</c:f>
              <c:strCache/>
            </c:strRef>
          </c:cat>
          <c:val>
            <c:numRef>
              <c:f>Stats!$B$14:$N$14</c:f>
              <c:numCache/>
            </c:numRef>
          </c:val>
          <c:smooth val="0"/>
        </c:ser>
        <c:marker val="1"/>
        <c:axId val="34558049"/>
        <c:axId val="42586986"/>
      </c:lineChart>
      <c:catAx>
        <c:axId val="34558049"/>
        <c:scaling>
          <c:orientation val="minMax"/>
        </c:scaling>
        <c:axPos val="b"/>
        <c:delete val="0"/>
        <c:numFmt formatCode="[$-409]d\-mmm\-yy;@"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2586986"/>
        <c:crosses val="autoZero"/>
        <c:auto val="0"/>
        <c:lblOffset val="100"/>
        <c:tickLblSkip val="1"/>
        <c:noMultiLvlLbl val="0"/>
      </c:catAx>
      <c:valAx>
        <c:axId val="4258698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55804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25"/>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325"/>
          <c:y val="0.143"/>
          <c:w val="0.97375"/>
          <c:h val="0.86125"/>
        </c:manualLayout>
      </c:layout>
      <c:lineChart>
        <c:grouping val="standard"/>
        <c:varyColors val="0"/>
        <c:ser>
          <c:idx val="0"/>
          <c:order val="0"/>
          <c:tx>
            <c:strRef>
              <c:f>Stats!$A$3</c:f>
              <c:strCache>
                <c:ptCount val="1"/>
                <c:pt idx="0">
                  <c:v>Weight</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Stats!$B$2:$N$2</c:f>
              <c:strCache/>
            </c:strRef>
          </c:cat>
          <c:val>
            <c:numRef>
              <c:f>Stats!$B$3:$N$3</c:f>
              <c:numCache/>
            </c:numRef>
          </c:val>
          <c:smooth val="0"/>
        </c:ser>
        <c:marker val="1"/>
        <c:axId val="47738555"/>
        <c:axId val="26993812"/>
      </c:lineChart>
      <c:catAx>
        <c:axId val="47738555"/>
        <c:scaling>
          <c:orientation val="minMax"/>
        </c:scaling>
        <c:axPos val="b"/>
        <c:delete val="0"/>
        <c:numFmt formatCode="[$-409]d\-mmm\-yy;@"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6993812"/>
        <c:crosses val="autoZero"/>
        <c:auto val="0"/>
        <c:lblOffset val="100"/>
        <c:tickLblSkip val="1"/>
        <c:noMultiLvlLbl val="0"/>
      </c:catAx>
      <c:valAx>
        <c:axId val="2699381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73855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0</xdr:rowOff>
    </xdr:from>
    <xdr:to>
      <xdr:col>6</xdr:col>
      <xdr:colOff>485775</xdr:colOff>
      <xdr:row>29</xdr:row>
      <xdr:rowOff>76200</xdr:rowOff>
    </xdr:to>
    <xdr:graphicFrame>
      <xdr:nvGraphicFramePr>
        <xdr:cNvPr id="1" name="Chart 21"/>
        <xdr:cNvGraphicFramePr/>
      </xdr:nvGraphicFramePr>
      <xdr:xfrm>
        <a:off x="1885950" y="2867025"/>
        <a:ext cx="4581525" cy="274320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15</xdr:row>
      <xdr:rowOff>0</xdr:rowOff>
    </xdr:from>
    <xdr:to>
      <xdr:col>12</xdr:col>
      <xdr:colOff>609600</xdr:colOff>
      <xdr:row>29</xdr:row>
      <xdr:rowOff>76200</xdr:rowOff>
    </xdr:to>
    <xdr:graphicFrame>
      <xdr:nvGraphicFramePr>
        <xdr:cNvPr id="2" name="Chart 22"/>
        <xdr:cNvGraphicFramePr/>
      </xdr:nvGraphicFramePr>
      <xdr:xfrm>
        <a:off x="6829425" y="2867025"/>
        <a:ext cx="4591050" cy="27432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30</xdr:row>
      <xdr:rowOff>0</xdr:rowOff>
    </xdr:from>
    <xdr:to>
      <xdr:col>6</xdr:col>
      <xdr:colOff>485775</xdr:colOff>
      <xdr:row>44</xdr:row>
      <xdr:rowOff>76200</xdr:rowOff>
    </xdr:to>
    <xdr:graphicFrame>
      <xdr:nvGraphicFramePr>
        <xdr:cNvPr id="3" name="Chart 23"/>
        <xdr:cNvGraphicFramePr/>
      </xdr:nvGraphicFramePr>
      <xdr:xfrm>
        <a:off x="1885950" y="5724525"/>
        <a:ext cx="4581525" cy="2743200"/>
      </xdr:xfrm>
      <a:graphic>
        <a:graphicData uri="http://schemas.openxmlformats.org/drawingml/2006/chart">
          <c:chart xmlns:c="http://schemas.openxmlformats.org/drawingml/2006/chart" r:id="rId3"/>
        </a:graphicData>
      </a:graphic>
    </xdr:graphicFrame>
    <xdr:clientData/>
  </xdr:twoCellAnchor>
  <xdr:twoCellAnchor>
    <xdr:from>
      <xdr:col>7</xdr:col>
      <xdr:colOff>0</xdr:colOff>
      <xdr:row>30</xdr:row>
      <xdr:rowOff>0</xdr:rowOff>
    </xdr:from>
    <xdr:to>
      <xdr:col>12</xdr:col>
      <xdr:colOff>609600</xdr:colOff>
      <xdr:row>44</xdr:row>
      <xdr:rowOff>76200</xdr:rowOff>
    </xdr:to>
    <xdr:graphicFrame>
      <xdr:nvGraphicFramePr>
        <xdr:cNvPr id="4" name="Chart 24"/>
        <xdr:cNvGraphicFramePr/>
      </xdr:nvGraphicFramePr>
      <xdr:xfrm>
        <a:off x="6829425" y="5724525"/>
        <a:ext cx="4591050" cy="274320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47</xdr:row>
      <xdr:rowOff>0</xdr:rowOff>
    </xdr:from>
    <xdr:to>
      <xdr:col>6</xdr:col>
      <xdr:colOff>485775</xdr:colOff>
      <xdr:row>61</xdr:row>
      <xdr:rowOff>76200</xdr:rowOff>
    </xdr:to>
    <xdr:graphicFrame>
      <xdr:nvGraphicFramePr>
        <xdr:cNvPr id="5" name="Chart 25"/>
        <xdr:cNvGraphicFramePr/>
      </xdr:nvGraphicFramePr>
      <xdr:xfrm>
        <a:off x="1885950" y="8972550"/>
        <a:ext cx="4581525" cy="2743200"/>
      </xdr:xfrm>
      <a:graphic>
        <a:graphicData uri="http://schemas.openxmlformats.org/drawingml/2006/chart">
          <c:chart xmlns:c="http://schemas.openxmlformats.org/drawingml/2006/chart" r:id="rId5"/>
        </a:graphicData>
      </a:graphic>
    </xdr:graphicFrame>
    <xdr:clientData/>
  </xdr:twoCellAnchor>
  <xdr:twoCellAnchor>
    <xdr:from>
      <xdr:col>7</xdr:col>
      <xdr:colOff>0</xdr:colOff>
      <xdr:row>47</xdr:row>
      <xdr:rowOff>0</xdr:rowOff>
    </xdr:from>
    <xdr:to>
      <xdr:col>12</xdr:col>
      <xdr:colOff>609600</xdr:colOff>
      <xdr:row>61</xdr:row>
      <xdr:rowOff>76200</xdr:rowOff>
    </xdr:to>
    <xdr:graphicFrame>
      <xdr:nvGraphicFramePr>
        <xdr:cNvPr id="6" name="Chart 26"/>
        <xdr:cNvGraphicFramePr/>
      </xdr:nvGraphicFramePr>
      <xdr:xfrm>
        <a:off x="6829425" y="8972550"/>
        <a:ext cx="4591050" cy="2743200"/>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62</xdr:row>
      <xdr:rowOff>0</xdr:rowOff>
    </xdr:from>
    <xdr:to>
      <xdr:col>6</xdr:col>
      <xdr:colOff>485775</xdr:colOff>
      <xdr:row>76</xdr:row>
      <xdr:rowOff>76200</xdr:rowOff>
    </xdr:to>
    <xdr:graphicFrame>
      <xdr:nvGraphicFramePr>
        <xdr:cNvPr id="7" name="Chart 27"/>
        <xdr:cNvGraphicFramePr/>
      </xdr:nvGraphicFramePr>
      <xdr:xfrm>
        <a:off x="1885950" y="11830050"/>
        <a:ext cx="4581525" cy="2743200"/>
      </xdr:xfrm>
      <a:graphic>
        <a:graphicData uri="http://schemas.openxmlformats.org/drawingml/2006/chart">
          <c:chart xmlns:c="http://schemas.openxmlformats.org/drawingml/2006/chart" r:id="rId7"/>
        </a:graphicData>
      </a:graphic>
    </xdr:graphicFrame>
    <xdr:clientData/>
  </xdr:twoCellAnchor>
  <xdr:twoCellAnchor>
    <xdr:from>
      <xdr:col>7</xdr:col>
      <xdr:colOff>0</xdr:colOff>
      <xdr:row>62</xdr:row>
      <xdr:rowOff>0</xdr:rowOff>
    </xdr:from>
    <xdr:to>
      <xdr:col>12</xdr:col>
      <xdr:colOff>609600</xdr:colOff>
      <xdr:row>76</xdr:row>
      <xdr:rowOff>76200</xdr:rowOff>
    </xdr:to>
    <xdr:graphicFrame>
      <xdr:nvGraphicFramePr>
        <xdr:cNvPr id="8" name="Chart 28"/>
        <xdr:cNvGraphicFramePr/>
      </xdr:nvGraphicFramePr>
      <xdr:xfrm>
        <a:off x="6829425" y="11830050"/>
        <a:ext cx="4591050" cy="2743200"/>
      </xdr:xfrm>
      <a:graphic>
        <a:graphicData uri="http://schemas.openxmlformats.org/drawingml/2006/chart">
          <c:chart xmlns:c="http://schemas.openxmlformats.org/drawingml/2006/chart" r:id="rId8"/>
        </a:graphicData>
      </a:graphic>
    </xdr:graphicFrame>
    <xdr:clientData/>
  </xdr:twoCellAnchor>
  <xdr:twoCellAnchor>
    <xdr:from>
      <xdr:col>1</xdr:col>
      <xdr:colOff>0</xdr:colOff>
      <xdr:row>79</xdr:row>
      <xdr:rowOff>0</xdr:rowOff>
    </xdr:from>
    <xdr:to>
      <xdr:col>6</xdr:col>
      <xdr:colOff>485775</xdr:colOff>
      <xdr:row>93</xdr:row>
      <xdr:rowOff>76200</xdr:rowOff>
    </xdr:to>
    <xdr:graphicFrame>
      <xdr:nvGraphicFramePr>
        <xdr:cNvPr id="9" name="Chart 29"/>
        <xdr:cNvGraphicFramePr/>
      </xdr:nvGraphicFramePr>
      <xdr:xfrm>
        <a:off x="1885950" y="15078075"/>
        <a:ext cx="4581525" cy="2743200"/>
      </xdr:xfrm>
      <a:graphic>
        <a:graphicData uri="http://schemas.openxmlformats.org/drawingml/2006/chart">
          <c:chart xmlns:c="http://schemas.openxmlformats.org/drawingml/2006/chart" r:id="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B1:V35"/>
  <sheetViews>
    <sheetView showGridLines="0" zoomScalePageLayoutView="0" workbookViewId="0" topLeftCell="A1">
      <pane ySplit="1" topLeftCell="A2" activePane="bottomLeft" state="frozen"/>
      <selection pane="topLeft" activeCell="A1" sqref="A1"/>
      <selection pane="bottomLeft" activeCell="B33" sqref="B33:J35"/>
    </sheetView>
  </sheetViews>
  <sheetFormatPr defaultColWidth="9.140625" defaultRowHeight="15"/>
  <cols>
    <col min="1" max="1" width="1.7109375" style="175" customWidth="1"/>
    <col min="2" max="2" width="60.140625" style="175" bestFit="1" customWidth="1"/>
    <col min="3" max="3" width="30.421875" style="175" bestFit="1" customWidth="1"/>
    <col min="4" max="4" width="6.421875" style="175" customWidth="1"/>
    <col min="5" max="5" width="15.00390625" style="175" bestFit="1" customWidth="1"/>
    <col min="6" max="13" width="9.140625" style="175" customWidth="1"/>
    <col min="14" max="14" width="16.421875" style="175" bestFit="1" customWidth="1"/>
    <col min="15" max="15" width="10.57421875" style="175" bestFit="1" customWidth="1"/>
    <col min="16" max="16" width="12.28125" style="175" bestFit="1" customWidth="1"/>
    <col min="17" max="17" width="15.28125" style="175" bestFit="1" customWidth="1"/>
    <col min="18" max="18" width="5.57421875" style="175" customWidth="1"/>
    <col min="19" max="16384" width="9.140625" style="175" customWidth="1"/>
  </cols>
  <sheetData>
    <row r="1" spans="2:3" s="189" customFormat="1" ht="31.5">
      <c r="B1" s="179" t="s">
        <v>71</v>
      </c>
      <c r="C1" s="188"/>
    </row>
    <row r="2" s="180" customFormat="1" ht="21">
      <c r="B2" s="181"/>
    </row>
    <row r="3" s="180" customFormat="1" ht="21">
      <c r="B3" s="190" t="s">
        <v>77</v>
      </c>
    </row>
    <row r="4" spans="2:4" ht="21">
      <c r="B4" s="176" t="s">
        <v>61</v>
      </c>
      <c r="C4" s="177" t="s">
        <v>32</v>
      </c>
      <c r="D4" s="178"/>
    </row>
    <row r="5" spans="2:22" ht="21">
      <c r="B5" s="176" t="s">
        <v>60</v>
      </c>
      <c r="C5" s="177">
        <v>300</v>
      </c>
      <c r="D5" s="175" t="str">
        <f>$C$4</f>
        <v>lbs</v>
      </c>
      <c r="N5"/>
      <c r="O5"/>
      <c r="P5"/>
      <c r="Q5"/>
      <c r="R5"/>
      <c r="S5"/>
      <c r="T5"/>
      <c r="U5"/>
      <c r="V5"/>
    </row>
    <row r="6" spans="2:22" ht="21">
      <c r="B6" s="176"/>
      <c r="C6" s="191"/>
      <c r="N6" s="198" t="s">
        <v>84</v>
      </c>
      <c r="O6"/>
      <c r="P6"/>
      <c r="Q6"/>
      <c r="R6"/>
      <c r="S6"/>
      <c r="T6"/>
      <c r="U6"/>
      <c r="V6"/>
    </row>
    <row r="7" spans="2:22" ht="21">
      <c r="B7" s="176" t="s">
        <v>74</v>
      </c>
      <c r="C7" s="177">
        <v>45</v>
      </c>
      <c r="D7" s="175" t="str">
        <f>$C$4</f>
        <v>lbs</v>
      </c>
      <c r="N7" s="102"/>
      <c r="O7" s="102"/>
      <c r="P7" s="156" t="s">
        <v>28</v>
      </c>
      <c r="Q7" s="157" t="s">
        <v>29</v>
      </c>
      <c r="R7" s="158" t="s">
        <v>30</v>
      </c>
      <c r="S7" s="108"/>
      <c r="T7" s="107"/>
      <c r="U7" s="102"/>
      <c r="V7" s="102"/>
    </row>
    <row r="8" spans="2:22" ht="21">
      <c r="B8" s="176" t="s">
        <v>75</v>
      </c>
      <c r="C8" s="177" t="s">
        <v>76</v>
      </c>
      <c r="E8" s="197" t="str">
        <f>IF(C8="Full weight + bar","Yes","No")</f>
        <v>Yes</v>
      </c>
      <c r="N8" s="106" t="s">
        <v>27</v>
      </c>
      <c r="O8" s="109" t="str">
        <f>TEXT(C14,"DDD")</f>
        <v>Mon</v>
      </c>
      <c r="P8" s="159">
        <f>IF(O8="Mon",2,IF(O8="Tue",3,IF(O8="Wed",4,IF(O8="Thu",5,IF(O8="Fri",6,IF(O8="Sat",7,8))))))</f>
        <v>2</v>
      </c>
      <c r="Q8" s="160">
        <f>VLOOKUP(O8,$O$14:$V$20,$P$8,FALSE)</f>
        <v>0</v>
      </c>
      <c r="R8" s="161">
        <f>C14</f>
        <v>40553</v>
      </c>
      <c r="S8" s="110"/>
      <c r="T8" s="111"/>
      <c r="U8" s="111"/>
      <c r="V8" s="102"/>
    </row>
    <row r="9" spans="2:22" ht="21">
      <c r="B9" s="176" t="s">
        <v>78</v>
      </c>
      <c r="C9" s="177">
        <v>5</v>
      </c>
      <c r="D9" s="175" t="str">
        <f>$C$4</f>
        <v>lbs</v>
      </c>
      <c r="N9" s="102"/>
      <c r="O9" s="199" t="str">
        <f>Questions!E16</f>
        <v>Wed</v>
      </c>
      <c r="P9" s="159"/>
      <c r="Q9" s="160">
        <f>VLOOKUP(O9,$O$14:$V$20,$P$8,FALSE)</f>
        <v>2</v>
      </c>
      <c r="R9" s="161">
        <f>$R$8+Q9</f>
        <v>40555</v>
      </c>
      <c r="S9" s="110"/>
      <c r="T9" s="111"/>
      <c r="U9" s="111"/>
      <c r="V9" s="102"/>
    </row>
    <row r="10" spans="2:22" ht="21">
      <c r="B10" s="176"/>
      <c r="C10" s="191"/>
      <c r="N10" s="102"/>
      <c r="O10" s="199" t="str">
        <f>Questions!E17</f>
        <v>Thu</v>
      </c>
      <c r="P10" s="159"/>
      <c r="Q10" s="160">
        <f>VLOOKUP(O10,$O$14:$V$20,$P$8,FALSE)</f>
        <v>3</v>
      </c>
      <c r="R10" s="161">
        <f>$R$8+Q10</f>
        <v>40556</v>
      </c>
      <c r="S10" s="110"/>
      <c r="T10" s="111"/>
      <c r="U10" s="111"/>
      <c r="V10" s="102"/>
    </row>
    <row r="11" spans="2:22" ht="21">
      <c r="B11" s="176" t="s">
        <v>79</v>
      </c>
      <c r="C11" s="192">
        <v>0.5</v>
      </c>
      <c r="D11" s="175" t="s">
        <v>80</v>
      </c>
      <c r="N11" s="102"/>
      <c r="O11" s="200" t="str">
        <f>Questions!E18</f>
        <v>Fri</v>
      </c>
      <c r="P11" s="162"/>
      <c r="Q11" s="163">
        <f>VLOOKUP(O11,$O$14:$V$20,$P$8,FALSE)</f>
        <v>4</v>
      </c>
      <c r="R11" s="164">
        <f>$R$8+Q11</f>
        <v>40557</v>
      </c>
      <c r="S11" s="110"/>
      <c r="T11" s="111"/>
      <c r="U11" s="111"/>
      <c r="V11" s="102"/>
    </row>
    <row r="12" spans="2:22" ht="21">
      <c r="B12" s="176"/>
      <c r="N12" s="107"/>
      <c r="O12" s="107"/>
      <c r="P12" s="111"/>
      <c r="Q12" s="111"/>
      <c r="R12" s="111"/>
      <c r="S12" s="111"/>
      <c r="T12" s="111"/>
      <c r="U12" s="111"/>
      <c r="V12" s="111"/>
    </row>
    <row r="13" spans="2:22" ht="21">
      <c r="B13" s="182" t="s">
        <v>65</v>
      </c>
      <c r="N13" s="107"/>
      <c r="O13" s="165" t="s">
        <v>31</v>
      </c>
      <c r="P13" s="166" t="s">
        <v>20</v>
      </c>
      <c r="Q13" s="166" t="s">
        <v>26</v>
      </c>
      <c r="R13" s="166" t="s">
        <v>21</v>
      </c>
      <c r="S13" s="166" t="s">
        <v>22</v>
      </c>
      <c r="T13" s="166" t="s">
        <v>23</v>
      </c>
      <c r="U13" s="166" t="s">
        <v>24</v>
      </c>
      <c r="V13" s="167" t="s">
        <v>25</v>
      </c>
    </row>
    <row r="14" spans="2:22" ht="21">
      <c r="B14" s="176" t="s">
        <v>70</v>
      </c>
      <c r="C14" s="183">
        <v>40553</v>
      </c>
      <c r="N14" s="107"/>
      <c r="O14" s="168" t="s">
        <v>20</v>
      </c>
      <c r="P14" s="169">
        <v>0</v>
      </c>
      <c r="Q14" s="170">
        <v>6</v>
      </c>
      <c r="R14" s="170">
        <v>5</v>
      </c>
      <c r="S14" s="170">
        <v>4</v>
      </c>
      <c r="T14" s="170">
        <v>3</v>
      </c>
      <c r="U14" s="170">
        <v>2</v>
      </c>
      <c r="V14" s="171">
        <v>1</v>
      </c>
    </row>
    <row r="15" spans="2:22" ht="21">
      <c r="B15" s="176" t="s">
        <v>66</v>
      </c>
      <c r="C15" s="184" t="s">
        <v>1</v>
      </c>
      <c r="D15" s="180" t="s">
        <v>63</v>
      </c>
      <c r="E15" s="185" t="str">
        <f>TEXT(C14,"DDD")</f>
        <v>Mon</v>
      </c>
      <c r="N15" s="107"/>
      <c r="O15" s="168" t="s">
        <v>26</v>
      </c>
      <c r="P15" s="170">
        <v>1</v>
      </c>
      <c r="Q15" s="169">
        <v>0</v>
      </c>
      <c r="R15" s="170">
        <v>6</v>
      </c>
      <c r="S15" s="170">
        <v>5</v>
      </c>
      <c r="T15" s="170">
        <v>4</v>
      </c>
      <c r="U15" s="170">
        <v>3</v>
      </c>
      <c r="V15" s="171">
        <v>2</v>
      </c>
    </row>
    <row r="16" spans="2:22" ht="21">
      <c r="B16" s="176" t="s">
        <v>67</v>
      </c>
      <c r="C16" s="186" t="s">
        <v>2</v>
      </c>
      <c r="D16" s="175" t="s">
        <v>63</v>
      </c>
      <c r="E16" s="187" t="s">
        <v>21</v>
      </c>
      <c r="N16" s="107"/>
      <c r="O16" s="168" t="s">
        <v>21</v>
      </c>
      <c r="P16" s="170">
        <v>2</v>
      </c>
      <c r="Q16" s="170">
        <v>1</v>
      </c>
      <c r="R16" s="169">
        <v>0</v>
      </c>
      <c r="S16" s="170">
        <v>6</v>
      </c>
      <c r="T16" s="170">
        <v>5</v>
      </c>
      <c r="U16" s="170">
        <v>4</v>
      </c>
      <c r="V16" s="171">
        <v>3</v>
      </c>
    </row>
    <row r="17" spans="2:22" ht="21">
      <c r="B17" s="176" t="s">
        <v>68</v>
      </c>
      <c r="C17" s="184" t="s">
        <v>3</v>
      </c>
      <c r="D17" s="175" t="s">
        <v>63</v>
      </c>
      <c r="E17" s="187" t="s">
        <v>22</v>
      </c>
      <c r="N17" s="107"/>
      <c r="O17" s="168" t="s">
        <v>22</v>
      </c>
      <c r="P17" s="170">
        <v>3</v>
      </c>
      <c r="Q17" s="170">
        <v>2</v>
      </c>
      <c r="R17" s="170">
        <v>1</v>
      </c>
      <c r="S17" s="169">
        <v>0</v>
      </c>
      <c r="T17" s="170">
        <v>6</v>
      </c>
      <c r="U17" s="170">
        <v>5</v>
      </c>
      <c r="V17" s="171">
        <v>4</v>
      </c>
    </row>
    <row r="18" spans="2:22" ht="21">
      <c r="B18" s="176" t="s">
        <v>69</v>
      </c>
      <c r="C18" s="186" t="s">
        <v>4</v>
      </c>
      <c r="D18" s="175" t="s">
        <v>63</v>
      </c>
      <c r="E18" s="187" t="s">
        <v>23</v>
      </c>
      <c r="N18" s="107"/>
      <c r="O18" s="168" t="s">
        <v>23</v>
      </c>
      <c r="P18" s="170">
        <v>4</v>
      </c>
      <c r="Q18" s="170">
        <v>3</v>
      </c>
      <c r="R18" s="170">
        <v>2</v>
      </c>
      <c r="S18" s="170">
        <v>1</v>
      </c>
      <c r="T18" s="169">
        <v>0</v>
      </c>
      <c r="U18" s="170">
        <v>6</v>
      </c>
      <c r="V18" s="171">
        <v>5</v>
      </c>
    </row>
    <row r="19" spans="2:22" ht="21">
      <c r="B19" s="176"/>
      <c r="N19" s="107"/>
      <c r="O19" s="168" t="s">
        <v>24</v>
      </c>
      <c r="P19" s="170">
        <v>5</v>
      </c>
      <c r="Q19" s="170">
        <v>4</v>
      </c>
      <c r="R19" s="170">
        <v>3</v>
      </c>
      <c r="S19" s="170">
        <v>2</v>
      </c>
      <c r="T19" s="170">
        <v>1</v>
      </c>
      <c r="U19" s="169">
        <v>0</v>
      </c>
      <c r="V19" s="171">
        <v>6</v>
      </c>
    </row>
    <row r="20" spans="2:22" ht="21">
      <c r="B20" s="182" t="s">
        <v>64</v>
      </c>
      <c r="N20" s="107"/>
      <c r="O20" s="172" t="s">
        <v>25</v>
      </c>
      <c r="P20" s="173">
        <v>6</v>
      </c>
      <c r="Q20" s="173">
        <v>5</v>
      </c>
      <c r="R20" s="173">
        <v>4</v>
      </c>
      <c r="S20" s="173">
        <v>3</v>
      </c>
      <c r="T20" s="173">
        <v>2</v>
      </c>
      <c r="U20" s="173">
        <v>1</v>
      </c>
      <c r="V20" s="174">
        <v>0</v>
      </c>
    </row>
    <row r="21" spans="2:10" ht="21">
      <c r="B21" s="176" t="str">
        <f>C15&amp;":"</f>
        <v>Squat:</v>
      </c>
      <c r="C21" s="177">
        <v>1000</v>
      </c>
      <c r="D21" s="175" t="str">
        <f>$C$4</f>
        <v>lbs</v>
      </c>
      <c r="E21" s="193" t="s">
        <v>82</v>
      </c>
      <c r="F21" s="177">
        <v>3</v>
      </c>
      <c r="G21" s="175" t="s">
        <v>62</v>
      </c>
      <c r="H21" s="194" t="s">
        <v>83</v>
      </c>
      <c r="I21" s="195">
        <f>ROUND(C21/(1.0278-(0.0278*F21)),0)</f>
        <v>1059</v>
      </c>
      <c r="J21" s="194" t="str">
        <f>$C$4&amp;")"</f>
        <v>lbs)</v>
      </c>
    </row>
    <row r="22" spans="2:10" ht="21">
      <c r="B22" s="176" t="str">
        <f>C16&amp;":"</f>
        <v>Bench Press:</v>
      </c>
      <c r="C22" s="177">
        <v>500</v>
      </c>
      <c r="D22" s="175" t="str">
        <f>$C$4</f>
        <v>lbs</v>
      </c>
      <c r="E22" s="193" t="s">
        <v>82</v>
      </c>
      <c r="F22" s="177">
        <v>3</v>
      </c>
      <c r="G22" s="175" t="s">
        <v>62</v>
      </c>
      <c r="H22" s="194" t="s">
        <v>83</v>
      </c>
      <c r="I22" s="195">
        <f>ROUND(C22/(1.0278-(0.0278*F22)),0)</f>
        <v>529</v>
      </c>
      <c r="J22" s="194" t="str">
        <f>$C$4&amp;")"</f>
        <v>lbs)</v>
      </c>
    </row>
    <row r="23" spans="2:10" ht="21">
      <c r="B23" s="176" t="str">
        <f>C17&amp;":"</f>
        <v>Deadlift:</v>
      </c>
      <c r="C23" s="177">
        <v>800</v>
      </c>
      <c r="D23" s="175" t="str">
        <f>$C$4</f>
        <v>lbs</v>
      </c>
      <c r="E23" s="193" t="s">
        <v>82</v>
      </c>
      <c r="F23" s="177">
        <v>3</v>
      </c>
      <c r="G23" s="175" t="s">
        <v>62</v>
      </c>
      <c r="H23" s="194" t="s">
        <v>83</v>
      </c>
      <c r="I23" s="195">
        <f>ROUND(C23/(1.0278-(0.0278*F23)),0)</f>
        <v>847</v>
      </c>
      <c r="J23" s="194" t="str">
        <f>$C$4&amp;")"</f>
        <v>lbs)</v>
      </c>
    </row>
    <row r="24" spans="2:10" ht="21">
      <c r="B24" s="176" t="str">
        <f>C18&amp;":"</f>
        <v>Shoulder Press:</v>
      </c>
      <c r="C24" s="177">
        <v>400</v>
      </c>
      <c r="D24" s="175" t="str">
        <f>$C$4</f>
        <v>lbs</v>
      </c>
      <c r="E24" s="193" t="s">
        <v>82</v>
      </c>
      <c r="F24" s="177">
        <v>3</v>
      </c>
      <c r="G24" s="175" t="s">
        <v>62</v>
      </c>
      <c r="H24" s="194" t="s">
        <v>83</v>
      </c>
      <c r="I24" s="195">
        <f>ROUND(C24/(1.0278-(0.0278*F24)),0)</f>
        <v>424</v>
      </c>
      <c r="J24" s="194" t="str">
        <f>$C$4&amp;")"</f>
        <v>lbs)</v>
      </c>
    </row>
    <row r="25" ht="21">
      <c r="I25" s="180"/>
    </row>
    <row r="26" ht="21">
      <c r="B26" s="182" t="s">
        <v>72</v>
      </c>
    </row>
    <row r="27" ht="21">
      <c r="B27" s="176" t="s">
        <v>73</v>
      </c>
    </row>
    <row r="28" spans="2:4" ht="21">
      <c r="B28" s="176" t="str">
        <f>C15&amp;":"</f>
        <v>Squat:</v>
      </c>
      <c r="C28" s="177">
        <v>10</v>
      </c>
      <c r="D28" s="175" t="str">
        <f>$C$4</f>
        <v>lbs</v>
      </c>
    </row>
    <row r="29" spans="2:4" ht="21">
      <c r="B29" s="176" t="str">
        <f>C16&amp;":"</f>
        <v>Bench Press:</v>
      </c>
      <c r="C29" s="177">
        <v>5</v>
      </c>
      <c r="D29" s="175" t="str">
        <f>$C$4</f>
        <v>lbs</v>
      </c>
    </row>
    <row r="30" spans="2:4" ht="21">
      <c r="B30" s="176" t="str">
        <f>C17&amp;":"</f>
        <v>Deadlift:</v>
      </c>
      <c r="C30" s="177">
        <v>10</v>
      </c>
      <c r="D30" s="175" t="str">
        <f>$C$4</f>
        <v>lbs</v>
      </c>
    </row>
    <row r="31" spans="2:4" ht="21">
      <c r="B31" s="176" t="str">
        <f>C18&amp;":"</f>
        <v>Shoulder Press:</v>
      </c>
      <c r="C31" s="177">
        <v>5</v>
      </c>
      <c r="D31" s="175" t="str">
        <f>$C$4</f>
        <v>lbs</v>
      </c>
    </row>
    <row r="33" spans="2:10" ht="21">
      <c r="B33" s="203" t="s">
        <v>81</v>
      </c>
      <c r="C33" s="203"/>
      <c r="D33" s="203"/>
      <c r="E33" s="203"/>
      <c r="F33" s="203"/>
      <c r="G33" s="203"/>
      <c r="H33" s="203"/>
      <c r="I33" s="203"/>
      <c r="J33" s="203"/>
    </row>
    <row r="34" spans="2:10" ht="21">
      <c r="B34" s="203"/>
      <c r="C34" s="203"/>
      <c r="D34" s="203"/>
      <c r="E34" s="203"/>
      <c r="F34" s="203"/>
      <c r="G34" s="203"/>
      <c r="H34" s="203"/>
      <c r="I34" s="203"/>
      <c r="J34" s="203"/>
    </row>
    <row r="35" spans="2:10" ht="21">
      <c r="B35" s="203"/>
      <c r="C35" s="203"/>
      <c r="D35" s="203"/>
      <c r="E35" s="203"/>
      <c r="F35" s="203"/>
      <c r="G35" s="203"/>
      <c r="H35" s="203"/>
      <c r="I35" s="203"/>
      <c r="J35" s="203"/>
    </row>
  </sheetData>
  <sheetProtection/>
  <mergeCells count="1">
    <mergeCell ref="B33:J35"/>
  </mergeCells>
  <dataValidations count="3">
    <dataValidation type="list" allowBlank="1" showInputMessage="1" showErrorMessage="1" sqref="C4">
      <formula1>"kg, lbs"</formula1>
    </dataValidation>
    <dataValidation type="list" allowBlank="1" showInputMessage="1" showErrorMessage="1" sqref="E16:E18">
      <formula1>"Mon,Tue,Wed,Thu,Fri,Sat,Sun"</formula1>
    </dataValidation>
    <dataValidation type="list" allowBlank="1" showInputMessage="1" showErrorMessage="1" error="Choose from the list only." sqref="C8">
      <formula1>"Full weight + bar, Weights on one side"</formula1>
    </dataValidation>
  </dataValidations>
  <hyperlinks>
    <hyperlink ref="B33" location="'Wendler''s 5-3-1'!A1" display="All done, take me to my schedule!"/>
  </hyperlink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sheetPr>
    <tabColor theme="1"/>
  </sheetPr>
  <dimension ref="A1:L352"/>
  <sheetViews>
    <sheetView showGridLines="0" zoomScale="85" zoomScaleNormal="85" zoomScaleSheetLayoutView="80" zoomScalePageLayoutView="0" workbookViewId="0" topLeftCell="A1">
      <pane xSplit="1" ySplit="1" topLeftCell="B5" activePane="bottomRight" state="frozen"/>
      <selection pane="topLeft" activeCell="A1" sqref="A1"/>
      <selection pane="topRight" activeCell="G1" sqref="G1"/>
      <selection pane="bottomLeft" activeCell="A12" sqref="A12"/>
      <selection pane="bottomRight" activeCell="A1" sqref="A1"/>
    </sheetView>
  </sheetViews>
  <sheetFormatPr defaultColWidth="9.140625" defaultRowHeight="15"/>
  <cols>
    <col min="1" max="1" width="29.7109375" style="53" bestFit="1" customWidth="1"/>
    <col min="2" max="5" width="20.7109375" style="53" customWidth="1"/>
    <col min="6" max="8" width="15.28125" style="52" bestFit="1" customWidth="1"/>
    <col min="9" max="9" width="10.7109375" style="53" customWidth="1"/>
    <col min="10" max="10" width="1.7109375" style="102" customWidth="1"/>
    <col min="11" max="11" width="13.00390625" style="102" customWidth="1"/>
    <col min="12" max="12" width="11.8515625" style="102" customWidth="1"/>
    <col min="13" max="16384" width="9.140625" style="102" customWidth="1"/>
  </cols>
  <sheetData>
    <row r="1" spans="1:12" s="105" customFormat="1" ht="19.5" thickBot="1">
      <c r="A1" s="112"/>
      <c r="B1" s="113" t="s">
        <v>11</v>
      </c>
      <c r="C1" s="114" t="s">
        <v>9</v>
      </c>
      <c r="D1" s="104" t="s">
        <v>8</v>
      </c>
      <c r="E1" s="104" t="s">
        <v>10</v>
      </c>
      <c r="F1" s="40" t="s">
        <v>52</v>
      </c>
      <c r="G1" s="40" t="s">
        <v>53</v>
      </c>
      <c r="H1" s="40" t="s">
        <v>54</v>
      </c>
      <c r="I1" s="41"/>
      <c r="J1" s="41"/>
      <c r="K1" s="204" t="str">
        <f>"Boring But Big: "&amp;TEXT(BBBPercentage,"0.00%")</f>
        <v>Boring But Big: 50.00%</v>
      </c>
      <c r="L1" s="205"/>
    </row>
    <row r="2" spans="1:12" s="116" customFormat="1" ht="19.5" thickBot="1">
      <c r="A2" s="115" t="s">
        <v>38</v>
      </c>
      <c r="B2" s="206" t="str">
        <f>TEXT(B9,"dd mmm")&amp;" to "&amp;TEXT(E24,"dd mmm yyyy")</f>
        <v>10 Jan to 04 Feb 2011</v>
      </c>
      <c r="C2" s="207"/>
      <c r="D2" s="207"/>
      <c r="E2" s="207"/>
      <c r="F2" s="207"/>
      <c r="G2" s="207"/>
      <c r="H2" s="207"/>
      <c r="I2" s="208"/>
      <c r="K2" s="88"/>
      <c r="L2" s="88"/>
    </row>
    <row r="3" spans="1:12" s="119" customFormat="1" ht="15">
      <c r="A3" s="117" t="s">
        <v>5</v>
      </c>
      <c r="B3" s="118" t="s">
        <v>0</v>
      </c>
      <c r="C3" s="79">
        <v>0.9</v>
      </c>
      <c r="D3" s="209"/>
      <c r="E3" s="210"/>
      <c r="F3" s="216" t="s">
        <v>14</v>
      </c>
      <c r="G3" s="217"/>
      <c r="H3" s="217"/>
      <c r="I3" s="218"/>
      <c r="K3" s="103"/>
      <c r="L3" s="89"/>
    </row>
    <row r="4" spans="1:12" s="122" customFormat="1" ht="15">
      <c r="A4" s="90" t="str">
        <f>ExOne</f>
        <v>Squat</v>
      </c>
      <c r="B4" s="120">
        <f>RMOne</f>
        <v>1059</v>
      </c>
      <c r="C4" s="121">
        <f>B4*$C$3</f>
        <v>953.1</v>
      </c>
      <c r="D4" s="211"/>
      <c r="E4" s="212"/>
      <c r="F4" s="42" t="s">
        <v>6</v>
      </c>
      <c r="G4" s="43" t="s">
        <v>7</v>
      </c>
      <c r="H4" s="43" t="s">
        <v>12</v>
      </c>
      <c r="I4" s="44" t="s">
        <v>13</v>
      </c>
      <c r="K4" s="90"/>
      <c r="L4" s="90"/>
    </row>
    <row r="5" spans="1:12" s="122" customFormat="1" ht="15">
      <c r="A5" s="90" t="str">
        <f>ExTwo</f>
        <v>Bench Press</v>
      </c>
      <c r="B5" s="120">
        <f>RMTwo</f>
        <v>529</v>
      </c>
      <c r="C5" s="121">
        <f>B5*$C$3</f>
        <v>476.1</v>
      </c>
      <c r="D5" s="211"/>
      <c r="E5" s="212"/>
      <c r="F5" s="45">
        <v>0.65</v>
      </c>
      <c r="G5" s="45">
        <v>0.7</v>
      </c>
      <c r="H5" s="45">
        <v>0.75</v>
      </c>
      <c r="I5" s="46">
        <v>0.4</v>
      </c>
      <c r="K5" s="90"/>
      <c r="L5" s="90"/>
    </row>
    <row r="6" spans="1:12" s="122" customFormat="1" ht="15">
      <c r="A6" s="90" t="str">
        <f>ExThree</f>
        <v>Deadlift</v>
      </c>
      <c r="B6" s="120">
        <f>RMThree</f>
        <v>847</v>
      </c>
      <c r="C6" s="121">
        <f>B6*$C$3</f>
        <v>762.3000000000001</v>
      </c>
      <c r="D6" s="211"/>
      <c r="E6" s="212"/>
      <c r="F6" s="45">
        <v>0.75</v>
      </c>
      <c r="G6" s="45">
        <v>0.8</v>
      </c>
      <c r="H6" s="45">
        <v>0.85</v>
      </c>
      <c r="I6" s="46">
        <v>0.5</v>
      </c>
      <c r="K6" s="90"/>
      <c r="L6" s="90"/>
    </row>
    <row r="7" spans="1:12" s="119" customFormat="1" ht="15">
      <c r="A7" s="89" t="str">
        <f>ExFour</f>
        <v>Shoulder Press</v>
      </c>
      <c r="B7" s="120">
        <f>RMFour</f>
        <v>424</v>
      </c>
      <c r="C7" s="123">
        <f>B7*$C$3</f>
        <v>381.6</v>
      </c>
      <c r="D7" s="213"/>
      <c r="E7" s="214"/>
      <c r="F7" s="45">
        <v>0.85</v>
      </c>
      <c r="G7" s="45">
        <v>0.9</v>
      </c>
      <c r="H7" s="45">
        <v>0.95</v>
      </c>
      <c r="I7" s="46">
        <v>0.6</v>
      </c>
      <c r="K7" s="89"/>
      <c r="L7" s="89"/>
    </row>
    <row r="8" spans="1:12" s="126" customFormat="1" ht="15.75" thickBot="1">
      <c r="A8" s="124" t="s">
        <v>5</v>
      </c>
      <c r="B8" s="125"/>
      <c r="C8" s="125"/>
      <c r="D8" s="125"/>
      <c r="E8" s="125"/>
      <c r="F8" s="47"/>
      <c r="G8" s="47"/>
      <c r="H8" s="47"/>
      <c r="I8" s="48"/>
      <c r="K8" s="48"/>
      <c r="L8" s="48"/>
    </row>
    <row r="9" spans="1:12" s="130" customFormat="1" ht="15">
      <c r="A9" s="127" t="str">
        <f>A4</f>
        <v>Squat</v>
      </c>
      <c r="B9" s="128">
        <f>DayOne</f>
        <v>40553</v>
      </c>
      <c r="C9" s="129">
        <f>B9+7</f>
        <v>40560</v>
      </c>
      <c r="D9" s="129">
        <f>C9+7</f>
        <v>40567</v>
      </c>
      <c r="E9" s="129">
        <f>D9+7</f>
        <v>40574</v>
      </c>
      <c r="F9" s="49"/>
      <c r="G9" s="49"/>
      <c r="H9" s="49"/>
      <c r="I9" s="50"/>
      <c r="K9" s="91" t="s">
        <v>55</v>
      </c>
      <c r="L9" s="91" t="s">
        <v>13</v>
      </c>
    </row>
    <row r="10" spans="1:12" ht="15">
      <c r="A10" s="131" t="s">
        <v>34</v>
      </c>
      <c r="B10" s="93">
        <f>IF(WeightFormat="Yes",ROUND(($C4*F5)/Rounding,0)*Rounding,ROUND((($C4*F5)-BarWeight)/2/Rounding,0)*Rounding)</f>
        <v>620</v>
      </c>
      <c r="C10" s="93">
        <f>IF(WeightFormat="Yes",ROUND(($C4*G5)/Rounding,0)*Rounding,ROUND((($C4*G5)-BarWeight)/2/Rounding,0)*Rounding)</f>
        <v>665</v>
      </c>
      <c r="D10" s="93">
        <f>IF(WeightFormat="Yes",ROUND(($C4*H5)/Rounding,0)*Rounding,ROUND((($C4*H5)-BarWeight)/2/Rounding,0)*Rounding)</f>
        <v>715</v>
      </c>
      <c r="E10" s="93">
        <f>IF(WeightFormat="Yes",ROUND(($C4*I5)/Rounding,0)*Rounding,ROUND((($C4*I5)-BarWeight)/2/Rounding,0)*Rounding)</f>
        <v>380</v>
      </c>
      <c r="F10" s="51"/>
      <c r="K10" s="92">
        <f>IF(WeightFormat="Yes",ROUND((C4*BBBPercentage)/Rounding,0)*Rounding,ROUND((($C4*BBBPercentage)-BarWeight)/2/Rounding,0)*Rounding)</f>
        <v>475</v>
      </c>
      <c r="L10" s="93">
        <f>K10</f>
        <v>475</v>
      </c>
    </row>
    <row r="11" spans="1:12" s="134" customFormat="1" ht="15">
      <c r="A11" s="132" t="s">
        <v>35</v>
      </c>
      <c r="B11" s="133">
        <f>IF(WeightFormat="Yes",ROUND(($C4*F6)/Rounding,0)*Rounding,ROUND((($C4*F6)-BarWeight)/2/Rounding,0)*Rounding)</f>
        <v>715</v>
      </c>
      <c r="C11" s="133">
        <f>IF(WeightFormat="Yes",ROUND(($C4*G6)/Rounding,0)*Rounding,ROUND((($C4*G6)-BarWeight)/2/Rounding,0)*Rounding)</f>
        <v>760</v>
      </c>
      <c r="D11" s="133">
        <f>IF(WeightFormat="Yes",ROUND(($C4*H6)/Rounding,0)*Rounding,ROUND((($C4*H6)-BarWeight)/2/Rounding,0)*Rounding)</f>
        <v>810</v>
      </c>
      <c r="E11" s="133">
        <f>IF(WeightFormat="Yes",ROUND(($C4*I6)/Rounding,0)*Rounding,ROUND((($C4*I6)-BarWeight)/2/Rounding,0)*Rounding)</f>
        <v>475</v>
      </c>
      <c r="F11" s="54"/>
      <c r="G11" s="55"/>
      <c r="H11" s="55"/>
      <c r="I11" s="56"/>
      <c r="K11" s="56"/>
      <c r="L11" s="56"/>
    </row>
    <row r="12" spans="1:12" s="137" customFormat="1" ht="15">
      <c r="A12" s="135" t="s">
        <v>36</v>
      </c>
      <c r="B12" s="136">
        <f>IF(WeightFormat="Yes",ROUND(($C4*F7)/Rounding,0)*Rounding,ROUND((($C4*F7)-BarWeight)/2/Rounding,0)*Rounding)</f>
        <v>810</v>
      </c>
      <c r="C12" s="136">
        <f>IF(WeightFormat="Yes",ROUND(($C4*G7)/Rounding,0)*Rounding,ROUND((($C4*G7)-BarWeight)/2/Rounding,0)*Rounding)</f>
        <v>860</v>
      </c>
      <c r="D12" s="136">
        <f>IF(WeightFormat="Yes",ROUND(($C4*H7)/Rounding,0)*Rounding,ROUND((($C4*H7)-BarWeight)/2/Rounding,0)*Rounding)</f>
        <v>905</v>
      </c>
      <c r="E12" s="136">
        <f>IF(WeightFormat="Yes",ROUND(($C4*I7)/Rounding,0)*Rounding,ROUND((($C4*I7)-BarWeight)/2/Rounding,0)*Rounding)</f>
        <v>570</v>
      </c>
      <c r="F12" s="57"/>
      <c r="G12" s="58">
        <f>IF(OR(ISERROR(F13),ISERROR(G13)),0,(G13-F13)/F13)</f>
        <v>0</v>
      </c>
      <c r="H12" s="58">
        <f>IF(OR(ISERROR(G13),ISERROR(H13)),0,(H13-G13)/G13)</f>
        <v>0</v>
      </c>
      <c r="I12" s="59"/>
      <c r="K12" s="59"/>
      <c r="L12" s="59"/>
    </row>
    <row r="13" spans="1:12" s="139" customFormat="1" ht="15.75" thickBot="1">
      <c r="A13" s="138" t="s">
        <v>37</v>
      </c>
      <c r="B13" s="94">
        <v>10</v>
      </c>
      <c r="C13" s="94"/>
      <c r="D13" s="94"/>
      <c r="E13" s="94" t="s">
        <v>15</v>
      </c>
      <c r="F13" s="60">
        <f>IF(B13=0,NA(),IF(WeightFormat="No",((B12*2)+BarWeight)/(1.0278-(0.0278*B13)),B12/(1.0278-(0.0278*B13))))</f>
        <v>1080.2880768204855</v>
      </c>
      <c r="G13" s="60" t="e">
        <f>IF(C13=0,NA(),IF(WeightFormat="No",((C12*2)+BarWeight)/(1.0278-(0.0278*C13)),C12/(1.0278-(0.0278*C13))))</f>
        <v>#N/A</v>
      </c>
      <c r="H13" s="60" t="e">
        <f>IF(D13=0,NA(),IF(WeightFormat="No",((D12*2)+BarWeight)/(1.0278-(0.0278*D13)),D12/(1.0278-(0.0278*D13))))</f>
        <v>#N/A</v>
      </c>
      <c r="I13" s="61"/>
      <c r="K13" s="94" t="s">
        <v>56</v>
      </c>
      <c r="L13" s="94" t="s">
        <v>57</v>
      </c>
    </row>
    <row r="14" spans="1:12" s="142" customFormat="1" ht="15">
      <c r="A14" s="140" t="str">
        <f>A5</f>
        <v>Bench Press</v>
      </c>
      <c r="B14" s="141">
        <f>DayTwo</f>
        <v>40555</v>
      </c>
      <c r="C14" s="141">
        <f>B14+7</f>
        <v>40562</v>
      </c>
      <c r="D14" s="141">
        <f>C14+7</f>
        <v>40569</v>
      </c>
      <c r="E14" s="141">
        <f>D14+7</f>
        <v>40576</v>
      </c>
      <c r="F14" s="62"/>
      <c r="G14" s="62"/>
      <c r="H14" s="62"/>
      <c r="I14" s="63"/>
      <c r="K14" s="82"/>
      <c r="L14" s="82"/>
    </row>
    <row r="15" spans="1:12" ht="15">
      <c r="A15" s="131" t="s">
        <v>34</v>
      </c>
      <c r="B15" s="93">
        <f>IF(WeightFormat="Yes",ROUND(($C5*F5)/Rounding,0)*Rounding,ROUND((($C5*F5)-BarWeight)/2/Rounding,0)*Rounding)</f>
        <v>310</v>
      </c>
      <c r="C15" s="93">
        <f>IF(WeightFormat="Yes",ROUND(($C5*G5)/Rounding,0)*Rounding,ROUND((($C5*G5)-BarWeight)/2/Rounding,0)*Rounding)</f>
        <v>335</v>
      </c>
      <c r="D15" s="93">
        <f>IF(WeightFormat="Yes",ROUND(($C5*H5)/Rounding,0)*Rounding,ROUND((($C5*H5)-BarWeight)/2/Rounding,0)*Rounding)</f>
        <v>355</v>
      </c>
      <c r="E15" s="93">
        <f>IF(WeightFormat="Yes",ROUND(($C5*I5)/Rounding,0)*Rounding,ROUND((($C5*I5)-BarWeight)/2/Rounding,0)*Rounding)</f>
        <v>190</v>
      </c>
      <c r="F15" s="64"/>
      <c r="G15" s="64"/>
      <c r="H15" s="64"/>
      <c r="I15" s="65"/>
      <c r="K15" s="92">
        <f>IF(WeightFormat="Yes",ROUND((C5*BBBPercentage)/Rounding,0)*Rounding,ROUND((($C5*BBBPercentage)-BarWeight)/2/Rounding,0)*Rounding)</f>
        <v>240</v>
      </c>
      <c r="L15" s="93">
        <f>K15</f>
        <v>240</v>
      </c>
    </row>
    <row r="16" spans="1:12" s="134" customFormat="1" ht="15">
      <c r="A16" s="132" t="s">
        <v>35</v>
      </c>
      <c r="B16" s="133">
        <f>IF(WeightFormat="Yes",ROUND(($C5*F6)/Rounding,0)*Rounding,ROUND((($C5*F6)-BarWeight)/2/Rounding,0)*Rounding)</f>
        <v>355</v>
      </c>
      <c r="C16" s="133">
        <f>IF(WeightFormat="Yes",ROUND(($C5*G6)/Rounding,0)*Rounding,ROUND((($C5*G6)-BarWeight)/2/Rounding,0)*Rounding)</f>
        <v>380</v>
      </c>
      <c r="D16" s="133">
        <f>IF(WeightFormat="Yes",ROUND(($C5*H6)/Rounding,0)*Rounding,ROUND((($C5*H6)-BarWeight)/2/Rounding,0)*Rounding)</f>
        <v>405</v>
      </c>
      <c r="E16" s="133">
        <f>IF(WeightFormat="Yes",ROUND(($C5*I6)/Rounding,0)*Rounding,ROUND((($C5*I6)-BarWeight)/2/Rounding,0)*Rounding)</f>
        <v>240</v>
      </c>
      <c r="F16" s="66"/>
      <c r="G16" s="66"/>
      <c r="H16" s="66"/>
      <c r="I16" s="67"/>
      <c r="K16" s="56"/>
      <c r="L16" s="56"/>
    </row>
    <row r="17" spans="1:12" s="137" customFormat="1" ht="15">
      <c r="A17" s="135" t="s">
        <v>36</v>
      </c>
      <c r="B17" s="136">
        <f>IF(WeightFormat="Yes",ROUND(($C5*F7)/Rounding,0)*Rounding,ROUND((($C5*F7)-BarWeight)/2/Rounding,0)*Rounding)</f>
        <v>405</v>
      </c>
      <c r="C17" s="136">
        <f>IF(WeightFormat="Yes",ROUND(($C5*G7)/Rounding,0)*Rounding,ROUND((($C5*G7)-BarWeight)/2/Rounding,0)*Rounding)</f>
        <v>430</v>
      </c>
      <c r="D17" s="136">
        <f>IF(WeightFormat="Yes",ROUND(($C5*H7)/Rounding,0)*Rounding,ROUND((($C5*H7)-BarWeight)/2/Rounding,0)*Rounding)</f>
        <v>450</v>
      </c>
      <c r="E17" s="136">
        <f>IF(WeightFormat="Yes",ROUND(($C5*I7)/Rounding,0)*Rounding,ROUND((($C5*I7)-BarWeight)/2/Rounding,0)*Rounding)</f>
        <v>285</v>
      </c>
      <c r="F17" s="57"/>
      <c r="G17" s="58">
        <f>IF(OR(ISERROR(F18),ISERROR(G18)),0,(G18-F18)/F18)</f>
        <v>0</v>
      </c>
      <c r="H17" s="58">
        <f>IF(OR(ISERROR(G18),ISERROR(H18)),0,(H18-G18)/G18)</f>
        <v>0</v>
      </c>
      <c r="I17" s="68"/>
      <c r="K17" s="59"/>
      <c r="L17" s="59"/>
    </row>
    <row r="18" spans="1:12" s="144" customFormat="1" ht="15.75" thickBot="1">
      <c r="A18" s="143" t="s">
        <v>37</v>
      </c>
      <c r="B18" s="95"/>
      <c r="C18" s="95"/>
      <c r="D18" s="95"/>
      <c r="E18" s="95" t="s">
        <v>15</v>
      </c>
      <c r="F18" s="69" t="e">
        <f>IF(B18=0,NA(),IF(WeightFormat="No",((B17*2)+BarWeight)/(1.0278-(0.0278*B18)),B17/(1.0278-(0.0278*B18))))</f>
        <v>#N/A</v>
      </c>
      <c r="G18" s="69" t="e">
        <f>IF(C18=0,NA(),IF(WeightFormat="No",((C17*2)+BarWeight)/(1.0278-(0.0278*C18)),C17/(1.0278-(0.0278*C18))))</f>
        <v>#N/A</v>
      </c>
      <c r="H18" s="69" t="e">
        <f>IF(D18=0,NA(),IF(WeightFormat="No",((D17*2)+BarWeight)/(1.0278-(0.0278*D18)),D17/(1.0278-(0.0278*D18))))</f>
        <v>#N/A</v>
      </c>
      <c r="I18" s="70"/>
      <c r="K18" s="95" t="s">
        <v>56</v>
      </c>
      <c r="L18" s="95" t="s">
        <v>57</v>
      </c>
    </row>
    <row r="19" spans="1:12" s="147" customFormat="1" ht="15">
      <c r="A19" s="145" t="str">
        <f>A6</f>
        <v>Deadlift</v>
      </c>
      <c r="B19" s="146">
        <f>DayThree</f>
        <v>40556</v>
      </c>
      <c r="C19" s="146">
        <f>B19+7</f>
        <v>40563</v>
      </c>
      <c r="D19" s="146">
        <f>C19+7</f>
        <v>40570</v>
      </c>
      <c r="E19" s="146">
        <f>D19+7</f>
        <v>40577</v>
      </c>
      <c r="F19" s="71"/>
      <c r="G19" s="71"/>
      <c r="H19" s="71"/>
      <c r="I19" s="72"/>
      <c r="K19" s="84"/>
      <c r="L19" s="84"/>
    </row>
    <row r="20" spans="1:12" ht="15">
      <c r="A20" s="131" t="s">
        <v>34</v>
      </c>
      <c r="B20" s="93">
        <f>IF(WeightFormat="Yes",ROUND(($C6*F5)/Rounding,0)*Rounding,ROUND((($C6*F5)-BarWeight)/2/Rounding,0)*Rounding)</f>
        <v>495</v>
      </c>
      <c r="C20" s="93">
        <f>IF(WeightFormat="Yes",ROUND(($C6*G5)/Rounding,0)*Rounding,ROUND((($C6*G5)-BarWeight)/2/Rounding,0)*Rounding)</f>
        <v>535</v>
      </c>
      <c r="D20" s="93">
        <f>IF(WeightFormat="Yes",ROUND(($C6*H5)/Rounding,0)*Rounding,ROUND((($C6*H5)-BarWeight)/2/Rounding,0)*Rounding)</f>
        <v>570</v>
      </c>
      <c r="E20" s="93">
        <f>IF(WeightFormat="Yes",ROUND(($C6*I5)/Rounding,0)*Rounding,ROUND((($C6*I5)-BarWeight)/2/Rounding,0)*Rounding)</f>
        <v>305</v>
      </c>
      <c r="F20" s="64"/>
      <c r="G20" s="64"/>
      <c r="H20" s="64"/>
      <c r="I20" s="65"/>
      <c r="K20" s="92">
        <f>IF(WeightFormat="Yes",ROUND((C6*BBBPercentage)/Rounding,0)*Rounding,ROUND((($C6*BBBPercentage)-BarWeight)/2/Rounding,0)*Rounding)</f>
        <v>380</v>
      </c>
      <c r="L20" s="93">
        <f>K20</f>
        <v>380</v>
      </c>
    </row>
    <row r="21" spans="1:12" s="134" customFormat="1" ht="15">
      <c r="A21" s="132" t="s">
        <v>35</v>
      </c>
      <c r="B21" s="133">
        <f>IF(WeightFormat="Yes",ROUND(($C6*F6)/Rounding,0)*Rounding,ROUND((($C6*F6)-BarWeight)/2/Rounding,0)*Rounding)</f>
        <v>570</v>
      </c>
      <c r="C21" s="133">
        <f>IF(WeightFormat="Yes",ROUND(($C6*G6)/Rounding,0)*Rounding,ROUND((($C6*G6)-BarWeight)/2/Rounding,0)*Rounding)</f>
        <v>610</v>
      </c>
      <c r="D21" s="133">
        <f>IF(WeightFormat="Yes",ROUND(($C6*H6)/Rounding,0)*Rounding,ROUND((($C6*H6)-BarWeight)/2/Rounding,0)*Rounding)</f>
        <v>650</v>
      </c>
      <c r="E21" s="133">
        <f>IF(WeightFormat="Yes",ROUND(($C6*I6)/Rounding,0)*Rounding,ROUND((($C6*I6)-BarWeight)/2/Rounding,0)*Rounding)</f>
        <v>380</v>
      </c>
      <c r="F21" s="66"/>
      <c r="G21" s="66"/>
      <c r="H21" s="66"/>
      <c r="I21" s="67"/>
      <c r="K21" s="56"/>
      <c r="L21" s="56"/>
    </row>
    <row r="22" spans="1:12" s="137" customFormat="1" ht="15">
      <c r="A22" s="135" t="s">
        <v>36</v>
      </c>
      <c r="B22" s="136">
        <f>IF(WeightFormat="Yes",ROUND(($C6*F7)/Rounding,0)*Rounding,ROUND((($C6*F7)-BarWeight)/2/Rounding,0)*Rounding)</f>
        <v>650</v>
      </c>
      <c r="C22" s="136">
        <f>IF(WeightFormat="Yes",ROUND(($C6*G7)/Rounding,0)*Rounding,ROUND((($C6*G7)-BarWeight)/2/Rounding,0)*Rounding)</f>
        <v>685</v>
      </c>
      <c r="D22" s="136">
        <f>IF(WeightFormat="Yes",ROUND(($C6*H7)/Rounding,0)*Rounding,ROUND((($C6*H7)-BarWeight)/2/Rounding,0)*Rounding)</f>
        <v>725</v>
      </c>
      <c r="E22" s="136">
        <f>IF(WeightFormat="Yes",ROUND(($C6*I7)/Rounding,0)*Rounding,ROUND((($C6*I7)-BarWeight)/2/Rounding,0)*Rounding)</f>
        <v>455</v>
      </c>
      <c r="F22" s="57"/>
      <c r="G22" s="58">
        <f>IF(OR(ISERROR(F23),ISERROR(G23)),0,(G23-F23)/F23)</f>
        <v>0</v>
      </c>
      <c r="H22" s="58">
        <f>IF(OR(ISERROR(G23),ISERROR(H23)),0,(H23-G23)/G23)</f>
        <v>0</v>
      </c>
      <c r="I22" s="68"/>
      <c r="K22" s="59"/>
      <c r="L22" s="59"/>
    </row>
    <row r="23" spans="1:12" s="149" customFormat="1" ht="15.75" thickBot="1">
      <c r="A23" s="148" t="s">
        <v>37</v>
      </c>
      <c r="B23" s="96"/>
      <c r="C23" s="96"/>
      <c r="D23" s="96"/>
      <c r="E23" s="96" t="s">
        <v>15</v>
      </c>
      <c r="F23" s="73" t="e">
        <f>IF(B23=0,NA(),IF(WeightFormat="No",((B22*2)+BarWeight)/(1.0278-(0.0278*B23)),B22/(1.0278-(0.0278*B23))))</f>
        <v>#N/A</v>
      </c>
      <c r="G23" s="73" t="e">
        <f>IF(C23=0,NA(),IF(WeightFormat="No",((C22*2)+BarWeight)/(1.0278-(0.0278*C23)),C22/(1.0278-(0.0278*C23))))</f>
        <v>#N/A</v>
      </c>
      <c r="H23" s="73" t="e">
        <f>IF(D23=0,NA(),IF(WeightFormat="No",((D22*2)+BarWeight)/(1.0278-(0.0278*D23)),D22/(1.0278-(0.0278*D23))))</f>
        <v>#N/A</v>
      </c>
      <c r="I23" s="74"/>
      <c r="K23" s="96" t="s">
        <v>58</v>
      </c>
      <c r="L23" s="96" t="s">
        <v>59</v>
      </c>
    </row>
    <row r="24" spans="1:12" s="152" customFormat="1" ht="15">
      <c r="A24" s="150" t="str">
        <f>A7</f>
        <v>Shoulder Press</v>
      </c>
      <c r="B24" s="151">
        <f>DayFour</f>
        <v>40557</v>
      </c>
      <c r="C24" s="151">
        <f>B24+7</f>
        <v>40564</v>
      </c>
      <c r="D24" s="151">
        <f>C24+7</f>
        <v>40571</v>
      </c>
      <c r="E24" s="151">
        <f>D24+7</f>
        <v>40578</v>
      </c>
      <c r="F24" s="75"/>
      <c r="G24" s="75"/>
      <c r="H24" s="75"/>
      <c r="I24" s="76"/>
      <c r="K24" s="86"/>
      <c r="L24" s="86"/>
    </row>
    <row r="25" spans="1:12" ht="15">
      <c r="A25" s="131" t="s">
        <v>34</v>
      </c>
      <c r="B25" s="93">
        <f>IF(WeightFormat="Yes",ROUND(($C7*F5)/Rounding,0)*Rounding,ROUND((($C7*F5)-BarWeight)/2/Rounding,0)*Rounding)</f>
        <v>250</v>
      </c>
      <c r="C25" s="93">
        <f>IF(WeightFormat="Yes",ROUND(($C7*G5)/Rounding,0)*Rounding,ROUND((($C7*G5)-BarWeight)/2/Rounding,0)*Rounding)</f>
        <v>265</v>
      </c>
      <c r="D25" s="93">
        <f>IF(WeightFormat="Yes",ROUND(($C7*H5)/Rounding,0)*Rounding,ROUND((($C7*H5)-BarWeight)/2/Rounding,0)*Rounding)</f>
        <v>285</v>
      </c>
      <c r="E25" s="93">
        <f>IF(WeightFormat="Yes",ROUND(($C7*I5)/Rounding,0)*Rounding,ROUND((($C7*I5)-BarWeight)/2/Rounding,0)*Rounding)</f>
        <v>155</v>
      </c>
      <c r="F25" s="64"/>
      <c r="G25" s="64"/>
      <c r="H25" s="64"/>
      <c r="I25" s="65"/>
      <c r="K25" s="92">
        <f>IF(WeightFormat="Yes",ROUND((C7*BBBPercentage)/Rounding,0)*Rounding,ROUND((($C7*BBBPercentage)-BarWeight)/2/Rounding,0)*Rounding)</f>
        <v>190</v>
      </c>
      <c r="L25" s="93">
        <f>K25</f>
        <v>190</v>
      </c>
    </row>
    <row r="26" spans="1:12" s="134" customFormat="1" ht="15">
      <c r="A26" s="132" t="s">
        <v>35</v>
      </c>
      <c r="B26" s="133">
        <f>IF(WeightFormat="Yes",ROUND(($C7*F6)/Rounding,0)*Rounding,ROUND((($C7*F6)-BarWeight)/2/Rounding,0)*Rounding)</f>
        <v>285</v>
      </c>
      <c r="C26" s="133">
        <f>IF(WeightFormat="Yes",ROUND(($C7*G6)/Rounding,0)*Rounding,ROUND((($C7*G6)-BarWeight)/2/Rounding,0)*Rounding)</f>
        <v>305</v>
      </c>
      <c r="D26" s="133">
        <f>IF(WeightFormat="Yes",ROUND(($C7*H6)/Rounding,0)*Rounding,ROUND((($C7*H6)-BarWeight)/2/Rounding,0)*Rounding)</f>
        <v>325</v>
      </c>
      <c r="E26" s="133">
        <f>IF(WeightFormat="Yes",ROUND(($C7*I6)/Rounding,0)*Rounding,ROUND((($C7*I6)-BarWeight)/2/Rounding,0)*Rounding)</f>
        <v>190</v>
      </c>
      <c r="F26" s="66"/>
      <c r="G26" s="66"/>
      <c r="H26" s="66"/>
      <c r="I26" s="67"/>
      <c r="K26" s="56"/>
      <c r="L26" s="56"/>
    </row>
    <row r="27" spans="1:12" s="137" customFormat="1" ht="15">
      <c r="A27" s="135" t="s">
        <v>36</v>
      </c>
      <c r="B27" s="93">
        <f>IF(WeightFormat="Yes",ROUND(($C7*F7)/Rounding,0)*Rounding,ROUND((($C7*F7)-BarWeight)/2/Rounding,0)*Rounding)</f>
        <v>325</v>
      </c>
      <c r="C27" s="93">
        <f>IF(WeightFormat="Yes",ROUND(($C7*G7)/Rounding,0)*Rounding,ROUND((($C7*G7)-BarWeight)/2/Rounding,0)*Rounding)</f>
        <v>345</v>
      </c>
      <c r="D27" s="93">
        <f>IF(WeightFormat="Yes",ROUND(($C7*H7)/Rounding,0)*Rounding,ROUND((($C7*H7)-BarWeight)/2/Rounding,0)*Rounding)</f>
        <v>365</v>
      </c>
      <c r="E27" s="93">
        <f>IF(WeightFormat="Yes",ROUND(($C7*I7)/Rounding,0)*Rounding,ROUND((($C7*I7)-BarWeight)/2/Rounding,0)*Rounding)</f>
        <v>230</v>
      </c>
      <c r="F27" s="57"/>
      <c r="G27" s="58">
        <f>IF(OR(ISERROR(F28),ISERROR(G28)),0,(G28-F28)/F28)</f>
        <v>0</v>
      </c>
      <c r="H27" s="58">
        <f>IF(OR(ISERROR(G28),ISERROR(H28)),0,(H28-G28)/G28)</f>
        <v>0</v>
      </c>
      <c r="I27" s="68"/>
      <c r="K27" s="59"/>
      <c r="L27" s="59"/>
    </row>
    <row r="28" spans="1:12" s="154" customFormat="1" ht="15.75" thickBot="1">
      <c r="A28" s="153" t="s">
        <v>37</v>
      </c>
      <c r="B28" s="97"/>
      <c r="C28" s="97"/>
      <c r="D28" s="97"/>
      <c r="E28" s="97" t="s">
        <v>15</v>
      </c>
      <c r="F28" s="77" t="e">
        <f>IF(B28=0,NA(),IF(WeightFormat="No",((B27*2)+BarWeight)/(1.0278-(0.0278*B28)),B27/(1.0278-(0.0278*B28))))</f>
        <v>#N/A</v>
      </c>
      <c r="G28" s="77" t="e">
        <f>IF(C28=0,NA(),IF(WeightFormat="No",((C27*2)+BarWeight)/(1.0278-(0.0278*C28)),C27/(1.0278-(0.0278*C28))))</f>
        <v>#N/A</v>
      </c>
      <c r="H28" s="77" t="e">
        <f>IF(D28=0,NA(),IF(WeightFormat="No",((D27*2)+BarWeight)/(1.0278-(0.0278*D28)),D27/(1.0278-(0.0278*D28))))</f>
        <v>#N/A</v>
      </c>
      <c r="I28" s="78"/>
      <c r="K28" s="97" t="s">
        <v>56</v>
      </c>
      <c r="L28" s="97" t="s">
        <v>57</v>
      </c>
    </row>
    <row r="29" spans="1:12" s="116" customFormat="1" ht="19.5" thickBot="1">
      <c r="A29" s="115" t="s">
        <v>39</v>
      </c>
      <c r="B29" s="206" t="str">
        <f>TEXT(B36,"dd mmm")&amp;" to "&amp;TEXT(E51,"dd mmm yyyy")</f>
        <v>07 Feb to 04 Mar 2011</v>
      </c>
      <c r="C29" s="207"/>
      <c r="D29" s="207"/>
      <c r="E29" s="207"/>
      <c r="F29" s="207"/>
      <c r="G29" s="207"/>
      <c r="H29" s="207"/>
      <c r="I29" s="208"/>
      <c r="K29" s="88"/>
      <c r="L29" s="88"/>
    </row>
    <row r="30" spans="1:12" s="119" customFormat="1" ht="15">
      <c r="A30" s="117" t="s">
        <v>5</v>
      </c>
      <c r="B30" s="118" t="s">
        <v>0</v>
      </c>
      <c r="C30" s="79">
        <v>0.9</v>
      </c>
      <c r="D30" s="209"/>
      <c r="E30" s="219"/>
      <c r="F30" s="215" t="s">
        <v>14</v>
      </c>
      <c r="G30" s="215"/>
      <c r="H30" s="215"/>
      <c r="I30" s="215"/>
      <c r="K30" s="89"/>
      <c r="L30" s="89"/>
    </row>
    <row r="31" spans="1:12" s="122" customFormat="1" ht="15">
      <c r="A31" s="90" t="str">
        <f>ExOne</f>
        <v>Squat</v>
      </c>
      <c r="B31" s="120">
        <f>B4+(IncrOne/C30)</f>
        <v>1070.111111111111</v>
      </c>
      <c r="C31" s="121">
        <f>B31*$C$3</f>
        <v>963.1</v>
      </c>
      <c r="D31" s="220"/>
      <c r="E31" s="221"/>
      <c r="F31" s="42" t="s">
        <v>6</v>
      </c>
      <c r="G31" s="43" t="s">
        <v>7</v>
      </c>
      <c r="H31" s="43" t="s">
        <v>12</v>
      </c>
      <c r="I31" s="44" t="s">
        <v>13</v>
      </c>
      <c r="K31" s="90"/>
      <c r="L31" s="90"/>
    </row>
    <row r="32" spans="1:12" s="122" customFormat="1" ht="15">
      <c r="A32" s="90" t="str">
        <f>ExTwo</f>
        <v>Bench Press</v>
      </c>
      <c r="B32" s="120">
        <f>B5+(IncrTwo/C30)</f>
        <v>534.5555555555555</v>
      </c>
      <c r="C32" s="121">
        <f>B32*$C$3</f>
        <v>481.1</v>
      </c>
      <c r="D32" s="220"/>
      <c r="E32" s="221"/>
      <c r="F32" s="45">
        <v>0.65</v>
      </c>
      <c r="G32" s="45">
        <v>0.7</v>
      </c>
      <c r="H32" s="45">
        <v>0.75</v>
      </c>
      <c r="I32" s="46">
        <v>0.4</v>
      </c>
      <c r="K32" s="90"/>
      <c r="L32" s="90"/>
    </row>
    <row r="33" spans="1:12" s="122" customFormat="1" ht="15">
      <c r="A33" s="90" t="str">
        <f>ExThree</f>
        <v>Deadlift</v>
      </c>
      <c r="B33" s="120">
        <f>B6+(IncrThree/C30)</f>
        <v>858.1111111111111</v>
      </c>
      <c r="C33" s="121">
        <f>B33*$C$3</f>
        <v>772.3</v>
      </c>
      <c r="D33" s="220"/>
      <c r="E33" s="221"/>
      <c r="F33" s="45">
        <v>0.75</v>
      </c>
      <c r="G33" s="45">
        <v>0.8</v>
      </c>
      <c r="H33" s="45">
        <v>0.85</v>
      </c>
      <c r="I33" s="46">
        <v>0.5</v>
      </c>
      <c r="K33" s="90"/>
      <c r="L33" s="90"/>
    </row>
    <row r="34" spans="1:12" s="119" customFormat="1" ht="15">
      <c r="A34" s="89" t="str">
        <f>ExFour</f>
        <v>Shoulder Press</v>
      </c>
      <c r="B34" s="155">
        <f>B7+(IncrFour/C30)</f>
        <v>429.55555555555554</v>
      </c>
      <c r="C34" s="123">
        <f>B34*$C$3</f>
        <v>386.6</v>
      </c>
      <c r="D34" s="222"/>
      <c r="E34" s="223"/>
      <c r="F34" s="45">
        <v>0.85</v>
      </c>
      <c r="G34" s="45">
        <v>0.9</v>
      </c>
      <c r="H34" s="45">
        <v>0.95</v>
      </c>
      <c r="I34" s="46">
        <v>0.6</v>
      </c>
      <c r="K34" s="89"/>
      <c r="L34" s="89"/>
    </row>
    <row r="35" spans="1:12" s="126" customFormat="1" ht="15.75" thickBot="1">
      <c r="A35" s="124" t="s">
        <v>5</v>
      </c>
      <c r="B35" s="125"/>
      <c r="C35" s="125"/>
      <c r="D35" s="125"/>
      <c r="E35" s="125"/>
      <c r="F35" s="47"/>
      <c r="G35" s="47"/>
      <c r="H35" s="47"/>
      <c r="I35" s="48"/>
      <c r="K35" s="48"/>
      <c r="L35" s="48"/>
    </row>
    <row r="36" spans="1:12" s="130" customFormat="1" ht="15">
      <c r="A36" s="127" t="str">
        <f>A31</f>
        <v>Squat</v>
      </c>
      <c r="B36" s="128">
        <f>B9+28</f>
        <v>40581</v>
      </c>
      <c r="C36" s="129">
        <f>B36+7</f>
        <v>40588</v>
      </c>
      <c r="D36" s="129">
        <f>C36+7</f>
        <v>40595</v>
      </c>
      <c r="E36" s="129">
        <f>D36+7</f>
        <v>40602</v>
      </c>
      <c r="F36" s="49"/>
      <c r="G36" s="49"/>
      <c r="H36" s="49"/>
      <c r="I36" s="80"/>
      <c r="K36" s="91" t="s">
        <v>55</v>
      </c>
      <c r="L36" s="91" t="s">
        <v>13</v>
      </c>
    </row>
    <row r="37" spans="1:12" ht="15">
      <c r="A37" s="131" t="s">
        <v>34</v>
      </c>
      <c r="B37" s="93">
        <f>IF(WeightFormat="Yes",ROUND(($C31*F32)/Rounding,0)*Rounding,ROUND((($C31*F32)-BarWeight)/2/Rounding,0)*Rounding)</f>
        <v>625</v>
      </c>
      <c r="C37" s="93">
        <f>IF(WeightFormat="Yes",ROUND(($C31*G32)/Rounding,0)*Rounding,ROUND((($C31*G32)-BarWeight)/2/Rounding,0)*Rounding)</f>
        <v>675</v>
      </c>
      <c r="D37" s="93">
        <f>IF(WeightFormat="Yes",ROUND(($C31*H32)/Rounding,0)*Rounding,ROUND((($C31*H32)-BarWeight)/2/Rounding,0)*Rounding)</f>
        <v>720</v>
      </c>
      <c r="E37" s="93">
        <f>IF(WeightFormat="Yes",ROUND(($C31*I32)/Rounding,0)*Rounding,ROUND((($C31*I32)-BarWeight)/2/Rounding,0)*Rounding)</f>
        <v>385</v>
      </c>
      <c r="F37" s="51"/>
      <c r="K37" s="92">
        <f>IF(WeightFormat="Yes",ROUND((C31*BBBPercentage)/Rounding,0)*Rounding,ROUND((($C31*BBBPercentage)-BarWeight)/2/Rounding,0)*Rounding)</f>
        <v>480</v>
      </c>
      <c r="L37" s="93">
        <f>K37</f>
        <v>480</v>
      </c>
    </row>
    <row r="38" spans="1:12" s="134" customFormat="1" ht="15">
      <c r="A38" s="132" t="s">
        <v>35</v>
      </c>
      <c r="B38" s="133">
        <f>IF(WeightFormat="Yes",ROUND(($C31*F33)/Rounding,0)*Rounding,ROUND((($C31*F33)-BarWeight)/2/Rounding,0)*Rounding)</f>
        <v>720</v>
      </c>
      <c r="C38" s="133">
        <f>IF(WeightFormat="Yes",ROUND(($C31*G33)/Rounding,0)*Rounding,ROUND((($C31*G33)-BarWeight)/2/Rounding,0)*Rounding)</f>
        <v>770</v>
      </c>
      <c r="D38" s="133">
        <f>IF(WeightFormat="Yes",ROUND(($C31*H33)/Rounding,0)*Rounding,ROUND((($C31*H33)-BarWeight)/2/Rounding,0)*Rounding)</f>
        <v>820</v>
      </c>
      <c r="E38" s="133">
        <f>IF(WeightFormat="Yes",ROUND(($C31*I33)/Rounding,0)*Rounding,ROUND((($C31*I33)-BarWeight)/2/Rounding,0)*Rounding)</f>
        <v>480</v>
      </c>
      <c r="F38" s="54"/>
      <c r="G38" s="55"/>
      <c r="H38" s="55"/>
      <c r="I38" s="56"/>
      <c r="K38" s="56"/>
      <c r="L38" s="56"/>
    </row>
    <row r="39" spans="1:12" s="137" customFormat="1" ht="15">
      <c r="A39" s="135" t="s">
        <v>36</v>
      </c>
      <c r="B39" s="136">
        <f>IF(WeightFormat="Yes",ROUND(($C31*F34)/Rounding,0)*Rounding,ROUND((($C31*F34)-BarWeight)/2/Rounding,0)*Rounding)</f>
        <v>820</v>
      </c>
      <c r="C39" s="136">
        <f>IF(WeightFormat="Yes",ROUND(($C31*G34)/Rounding,0)*Rounding,ROUND((($C31*G34)-BarWeight)/2/Rounding,0)*Rounding)</f>
        <v>865</v>
      </c>
      <c r="D39" s="136">
        <f>IF(WeightFormat="Yes",ROUND(($C31*H34)/Rounding,0)*Rounding,ROUND((($C31*H34)-BarWeight)/2/Rounding,0)*Rounding)</f>
        <v>915</v>
      </c>
      <c r="E39" s="136">
        <f>IF(WeightFormat="Yes",ROUND(($C31*I34)/Rounding,0)*Rounding,ROUND((($C31*I34)-BarWeight)/2/Rounding,0)*Rounding)</f>
        <v>580</v>
      </c>
      <c r="F39" s="57"/>
      <c r="G39" s="58">
        <f>IF(OR(ISERROR(F40),ISERROR(G40)),0,(G40-F40)/F40)</f>
        <v>0</v>
      </c>
      <c r="H39" s="58">
        <f>IF(OR(ISERROR(G40),ISERROR(H40)),0,(H40-G40)/G40)</f>
        <v>0</v>
      </c>
      <c r="I39" s="59"/>
      <c r="K39" s="59"/>
      <c r="L39" s="59"/>
    </row>
    <row r="40" spans="1:12" s="139" customFormat="1" ht="15.75" thickBot="1">
      <c r="A40" s="138" t="s">
        <v>37</v>
      </c>
      <c r="B40" s="94"/>
      <c r="C40" s="94"/>
      <c r="D40" s="94"/>
      <c r="E40" s="94" t="s">
        <v>15</v>
      </c>
      <c r="F40" s="60" t="e">
        <f>IF(B40=0,NA(),IF(WeightFormat="No",((B39*2)+BarWeight)/(1.0278-(0.0278*B40)),B39/(1.0278-(0.0278*B40))))</f>
        <v>#N/A</v>
      </c>
      <c r="G40" s="60" t="e">
        <f>IF(C40=0,NA(),IF(WeightFormat="No",((C39*2)+BarWeight)/(1.0278-(0.0278*C40)),C39/(1.0278-(0.0278*C40))))</f>
        <v>#N/A</v>
      </c>
      <c r="H40" s="60" t="e">
        <f>IF(D40=0,NA(),IF(WeightFormat="No",((D39*2)+BarWeight)/(1.0278-(0.0278*D40)),D39/(1.0278-(0.0278*D40))))</f>
        <v>#N/A</v>
      </c>
      <c r="I40" s="81"/>
      <c r="K40" s="98" t="str">
        <f>K13</f>
        <v>5 x 10</v>
      </c>
      <c r="L40" s="98" t="str">
        <f>L13</f>
        <v>3 x 10</v>
      </c>
    </row>
    <row r="41" spans="1:12" s="142" customFormat="1" ht="15">
      <c r="A41" s="140" t="str">
        <f>A32</f>
        <v>Bench Press</v>
      </c>
      <c r="B41" s="141">
        <f>B14+28</f>
        <v>40583</v>
      </c>
      <c r="C41" s="141">
        <f>B41+7</f>
        <v>40590</v>
      </c>
      <c r="D41" s="141">
        <f>C41+7</f>
        <v>40597</v>
      </c>
      <c r="E41" s="141">
        <f>D41+7</f>
        <v>40604</v>
      </c>
      <c r="F41" s="62"/>
      <c r="G41" s="62"/>
      <c r="H41" s="62"/>
      <c r="I41" s="82"/>
      <c r="K41" s="82"/>
      <c r="L41" s="82"/>
    </row>
    <row r="42" spans="1:12" ht="15">
      <c r="A42" s="131" t="s">
        <v>34</v>
      </c>
      <c r="B42" s="93">
        <f>IF(WeightFormat="Yes",ROUND(($C32*F32)/Rounding,0)*Rounding,ROUND((($C32*F32)-BarWeight)/2/Rounding,0)*Rounding)</f>
        <v>315</v>
      </c>
      <c r="C42" s="93">
        <f>IF(WeightFormat="Yes",ROUND(($C32*G32)/Rounding,0)*Rounding,ROUND((($C32*G32)-BarWeight)/2/Rounding,0)*Rounding)</f>
        <v>335</v>
      </c>
      <c r="D42" s="93">
        <f>IF(WeightFormat="Yes",ROUND(($C32*H32)/Rounding,0)*Rounding,ROUND((($C32*H32)-BarWeight)/2/Rounding,0)*Rounding)</f>
        <v>360</v>
      </c>
      <c r="E42" s="93">
        <f>IF(WeightFormat="Yes",ROUND(($C32*I32)/Rounding,0)*Rounding,ROUND((($C32*I32)-BarWeight)/2/Rounding,0)*Rounding)</f>
        <v>190</v>
      </c>
      <c r="F42" s="64"/>
      <c r="G42" s="64"/>
      <c r="H42" s="64"/>
      <c r="K42" s="92">
        <f>IF(WeightFormat="Yes",ROUND((C32*BBBPercentage)/Rounding,0)*Rounding,ROUND((($C32*BBBPercentage)-BarWeight)/2/Rounding,0)*Rounding)</f>
        <v>240</v>
      </c>
      <c r="L42" s="93">
        <f>K42</f>
        <v>240</v>
      </c>
    </row>
    <row r="43" spans="1:12" s="134" customFormat="1" ht="15">
      <c r="A43" s="132" t="s">
        <v>35</v>
      </c>
      <c r="B43" s="133">
        <f>IF(WeightFormat="Yes",ROUND(($C32*F33)/Rounding,0)*Rounding,ROUND((($C32*F33)-BarWeight)/2/Rounding,0)*Rounding)</f>
        <v>360</v>
      </c>
      <c r="C43" s="133">
        <f>IF(WeightFormat="Yes",ROUND(($C32*G33)/Rounding,0)*Rounding,ROUND((($C32*G33)-BarWeight)/2/Rounding,0)*Rounding)</f>
        <v>385</v>
      </c>
      <c r="D43" s="133">
        <f>IF(WeightFormat="Yes",ROUND(($C32*H33)/Rounding,0)*Rounding,ROUND((($C32*H33)-BarWeight)/2/Rounding,0)*Rounding)</f>
        <v>410</v>
      </c>
      <c r="E43" s="133">
        <f>IF(WeightFormat="Yes",ROUND(($C32*I33)/Rounding,0)*Rounding,ROUND((($C32*I33)-BarWeight)/2/Rounding,0)*Rounding)</f>
        <v>240</v>
      </c>
      <c r="F43" s="66"/>
      <c r="G43" s="66"/>
      <c r="H43" s="66"/>
      <c r="I43" s="56"/>
      <c r="K43" s="56"/>
      <c r="L43" s="56"/>
    </row>
    <row r="44" spans="1:12" s="137" customFormat="1" ht="15">
      <c r="A44" s="135" t="s">
        <v>36</v>
      </c>
      <c r="B44" s="136">
        <f>IF(WeightFormat="Yes",ROUND(($C32*F34)/Rounding,0)*Rounding,ROUND((($C32*F34)-BarWeight)/2/Rounding,0)*Rounding)</f>
        <v>410</v>
      </c>
      <c r="C44" s="136">
        <f>IF(WeightFormat="Yes",ROUND(($C32*G34)/Rounding,0)*Rounding,ROUND((($C32*G34)-BarWeight)/2/Rounding,0)*Rounding)</f>
        <v>435</v>
      </c>
      <c r="D44" s="136">
        <f>IF(WeightFormat="Yes",ROUND(($C32*H34)/Rounding,0)*Rounding,ROUND((($C32*H34)-BarWeight)/2/Rounding,0)*Rounding)</f>
        <v>455</v>
      </c>
      <c r="E44" s="136">
        <f>IF(WeightFormat="Yes",ROUND(($C32*I34)/Rounding,0)*Rounding,ROUND((($C32*I34)-BarWeight)/2/Rounding,0)*Rounding)</f>
        <v>290</v>
      </c>
      <c r="F44" s="57"/>
      <c r="G44" s="58">
        <f>IF(OR(ISERROR(F45),ISERROR(G45)),0,(G45-F45)/F45)</f>
        <v>0</v>
      </c>
      <c r="H44" s="58">
        <f>IF(OR(ISERROR(G45),ISERROR(H45)),0,(H45-G45)/G45)</f>
        <v>0</v>
      </c>
      <c r="I44" s="59"/>
      <c r="K44" s="59"/>
      <c r="L44" s="59"/>
    </row>
    <row r="45" spans="1:12" s="144" customFormat="1" ht="15.75" thickBot="1">
      <c r="A45" s="143" t="s">
        <v>37</v>
      </c>
      <c r="B45" s="95"/>
      <c r="C45" s="95"/>
      <c r="D45" s="95"/>
      <c r="E45" s="95" t="s">
        <v>15</v>
      </c>
      <c r="F45" s="69" t="e">
        <f>IF(B45=0,NA(),IF(WeightFormat="No",((B44*2)+BarWeight)/(1.0278-(0.0278*B45)),B44/(1.0278-(0.0278*B45))))</f>
        <v>#N/A</v>
      </c>
      <c r="G45" s="69" t="e">
        <f>IF(C45=0,NA(),IF(WeightFormat="No",((C44*2)+BarWeight)/(1.0278-(0.0278*C45)),C44/(1.0278-(0.0278*C45))))</f>
        <v>#N/A</v>
      </c>
      <c r="H45" s="69" t="e">
        <f>IF(D45=0,NA(),IF(WeightFormat="No",((D44*2)+BarWeight)/(1.0278-(0.0278*D45)),D44/(1.0278-(0.0278*D45))))</f>
        <v>#N/A</v>
      </c>
      <c r="I45" s="83"/>
      <c r="K45" s="99" t="str">
        <f>K18</f>
        <v>5 x 10</v>
      </c>
      <c r="L45" s="99" t="str">
        <f>L18</f>
        <v>3 x 10</v>
      </c>
    </row>
    <row r="46" spans="1:12" s="147" customFormat="1" ht="15">
      <c r="A46" s="145" t="str">
        <f>A33</f>
        <v>Deadlift</v>
      </c>
      <c r="B46" s="146">
        <f>B19+28</f>
        <v>40584</v>
      </c>
      <c r="C46" s="146">
        <f>B46+7</f>
        <v>40591</v>
      </c>
      <c r="D46" s="146">
        <f>C46+7</f>
        <v>40598</v>
      </c>
      <c r="E46" s="146">
        <f>D46+7</f>
        <v>40605</v>
      </c>
      <c r="F46" s="71"/>
      <c r="G46" s="71"/>
      <c r="H46" s="71"/>
      <c r="I46" s="84"/>
      <c r="K46" s="84"/>
      <c r="L46" s="84"/>
    </row>
    <row r="47" spans="1:12" ht="15">
      <c r="A47" s="131" t="s">
        <v>34</v>
      </c>
      <c r="B47" s="93">
        <f>IF(WeightFormat="Yes",ROUND(($C33*F32)/Rounding,0)*Rounding,ROUND((($C33*F32)-BarWeight)/2/Rounding,0)*Rounding)</f>
        <v>500</v>
      </c>
      <c r="C47" s="93">
        <f>IF(WeightFormat="Yes",ROUND(($C33*G32)/Rounding,0)*Rounding,ROUND((($C33*G32)-BarWeight)/2/Rounding,0)*Rounding)</f>
        <v>540</v>
      </c>
      <c r="D47" s="93">
        <f>IF(WeightFormat="Yes",ROUND(($C33*H32)/Rounding,0)*Rounding,ROUND((($C33*H32)-BarWeight)/2/Rounding,0)*Rounding)</f>
        <v>580</v>
      </c>
      <c r="E47" s="93">
        <f>IF(WeightFormat="Yes",ROUND(($C33*I32)/Rounding,0)*Rounding,ROUND((($C33*I32)-BarWeight)/2/Rounding,0)*Rounding)</f>
        <v>310</v>
      </c>
      <c r="F47" s="64"/>
      <c r="G47" s="64"/>
      <c r="H47" s="64"/>
      <c r="K47" s="92">
        <f>IF(WeightFormat="Yes",ROUND((C33*BBBPercentage)/Rounding,0)*Rounding,ROUND((($C33*BBBPercentage)-BarWeight)/2/Rounding,0)*Rounding)</f>
        <v>385</v>
      </c>
      <c r="L47" s="93">
        <f>K47</f>
        <v>385</v>
      </c>
    </row>
    <row r="48" spans="1:12" s="134" customFormat="1" ht="15">
      <c r="A48" s="132" t="s">
        <v>35</v>
      </c>
      <c r="B48" s="133">
        <f>IF(WeightFormat="Yes",ROUND(($C33*F33)/Rounding,0)*Rounding,ROUND((($C33*F33)-BarWeight)/2/Rounding,0)*Rounding)</f>
        <v>580</v>
      </c>
      <c r="C48" s="133">
        <f>IF(WeightFormat="Yes",ROUND(($C33*G33)/Rounding,0)*Rounding,ROUND((($C33*G33)-BarWeight)/2/Rounding,0)*Rounding)</f>
        <v>620</v>
      </c>
      <c r="D48" s="133">
        <f>IF(WeightFormat="Yes",ROUND(($C33*H33)/Rounding,0)*Rounding,ROUND((($C33*H33)-BarWeight)/2/Rounding,0)*Rounding)</f>
        <v>655</v>
      </c>
      <c r="E48" s="133">
        <f>IF(WeightFormat="Yes",ROUND(($C33*I33)/Rounding,0)*Rounding,ROUND((($C33*I33)-BarWeight)/2/Rounding,0)*Rounding)</f>
        <v>385</v>
      </c>
      <c r="F48" s="66"/>
      <c r="G48" s="66"/>
      <c r="H48" s="66"/>
      <c r="I48" s="56"/>
      <c r="K48" s="56"/>
      <c r="L48" s="56"/>
    </row>
    <row r="49" spans="1:12" s="137" customFormat="1" ht="15">
      <c r="A49" s="135" t="s">
        <v>36</v>
      </c>
      <c r="B49" s="136">
        <f>IF(WeightFormat="Yes",ROUND(($C33*F34)/Rounding,0)*Rounding,ROUND((($C33*F34)-BarWeight)/2/Rounding,0)*Rounding)</f>
        <v>655</v>
      </c>
      <c r="C49" s="136">
        <f>IF(WeightFormat="Yes",ROUND(($C33*G34)/Rounding,0)*Rounding,ROUND((($C33*G34)-BarWeight)/2/Rounding,0)*Rounding)</f>
        <v>695</v>
      </c>
      <c r="D49" s="136">
        <f>IF(WeightFormat="Yes",ROUND(($C33*H34)/Rounding,0)*Rounding,ROUND((($C33*H34)-BarWeight)/2/Rounding,0)*Rounding)</f>
        <v>735</v>
      </c>
      <c r="E49" s="136">
        <f>IF(WeightFormat="Yes",ROUND(($C33*I34)/Rounding,0)*Rounding,ROUND((($C33*I34)-BarWeight)/2/Rounding,0)*Rounding)</f>
        <v>465</v>
      </c>
      <c r="F49" s="57"/>
      <c r="G49" s="58">
        <f>IF(OR(ISERROR(F50),ISERROR(G50)),0,(G50-F50)/F50)</f>
        <v>0</v>
      </c>
      <c r="H49" s="58">
        <f>IF(OR(ISERROR(G50),ISERROR(H50)),0,(H50-G50)/G50)</f>
        <v>0</v>
      </c>
      <c r="I49" s="59"/>
      <c r="K49" s="59"/>
      <c r="L49" s="59"/>
    </row>
    <row r="50" spans="1:12" s="149" customFormat="1" ht="15.75" thickBot="1">
      <c r="A50" s="148" t="s">
        <v>37</v>
      </c>
      <c r="B50" s="96"/>
      <c r="C50" s="96"/>
      <c r="D50" s="96"/>
      <c r="E50" s="96" t="s">
        <v>15</v>
      </c>
      <c r="F50" s="73" t="e">
        <f>IF(B50=0,NA(),IF(WeightFormat="No",((B49*2)+BarWeight)/(1.0278-(0.0278*B50)),B49/(1.0278-(0.0278*B50))))</f>
        <v>#N/A</v>
      </c>
      <c r="G50" s="73" t="e">
        <f>IF(C50=0,NA(),IF(WeightFormat="No",((C49*2)+BarWeight)/(1.0278-(0.0278*C50)),C49/(1.0278-(0.0278*C50))))</f>
        <v>#N/A</v>
      </c>
      <c r="H50" s="73" t="e">
        <f>IF(D50=0,NA(),IF(WeightFormat="No",((D49*2)+BarWeight)/(1.0278-(0.0278*D50)),D49/(1.0278-(0.0278*D50))))</f>
        <v>#N/A</v>
      </c>
      <c r="I50" s="85"/>
      <c r="K50" s="100" t="str">
        <f>K23</f>
        <v>5 x 8</v>
      </c>
      <c r="L50" s="100" t="str">
        <f>L23</f>
        <v>3 x 8</v>
      </c>
    </row>
    <row r="51" spans="1:12" s="152" customFormat="1" ht="15">
      <c r="A51" s="150" t="str">
        <f>A34</f>
        <v>Shoulder Press</v>
      </c>
      <c r="B51" s="151">
        <f>B24+28</f>
        <v>40585</v>
      </c>
      <c r="C51" s="151">
        <f>B51+7</f>
        <v>40592</v>
      </c>
      <c r="D51" s="151">
        <f>C51+7</f>
        <v>40599</v>
      </c>
      <c r="E51" s="151">
        <f>D51+7</f>
        <v>40606</v>
      </c>
      <c r="F51" s="75"/>
      <c r="G51" s="75"/>
      <c r="H51" s="75"/>
      <c r="I51" s="86"/>
      <c r="K51" s="86"/>
      <c r="L51" s="86"/>
    </row>
    <row r="52" spans="1:12" ht="15">
      <c r="A52" s="131" t="s">
        <v>34</v>
      </c>
      <c r="B52" s="93">
        <f>IF(WeightFormat="Yes",ROUND(($C34*F32)/Rounding,0)*Rounding,ROUND((($C34*F32)-BarWeight)/2/Rounding,0)*Rounding)</f>
        <v>250</v>
      </c>
      <c r="C52" s="93">
        <f>IF(WeightFormat="Yes",ROUND(($C34*G32)/Rounding,0)*Rounding,ROUND((($C34*G32)-BarWeight)/2/Rounding,0)*Rounding)</f>
        <v>270</v>
      </c>
      <c r="D52" s="93">
        <f>IF(WeightFormat="Yes",ROUND(($C34*H32)/Rounding,0)*Rounding,ROUND((($C34*H32)-BarWeight)/2/Rounding,0)*Rounding)</f>
        <v>290</v>
      </c>
      <c r="E52" s="93">
        <f>IF(WeightFormat="Yes",ROUND(($C34*I32)/Rounding,0)*Rounding,ROUND((($C34*I32)-BarWeight)/2/Rounding,0)*Rounding)</f>
        <v>155</v>
      </c>
      <c r="F52" s="64"/>
      <c r="G52" s="64"/>
      <c r="H52" s="64"/>
      <c r="K52" s="92">
        <f>IF(WeightFormat="Yes",ROUND((C34*BBBPercentage)/Rounding,0)*Rounding,ROUND((($C34*BBBPercentage)-BarWeight)/2/Rounding,0)*Rounding)</f>
        <v>195</v>
      </c>
      <c r="L52" s="93">
        <f>K52</f>
        <v>195</v>
      </c>
    </row>
    <row r="53" spans="1:12" s="134" customFormat="1" ht="15">
      <c r="A53" s="132" t="s">
        <v>35</v>
      </c>
      <c r="B53" s="133">
        <f>IF(WeightFormat="Yes",ROUND(($C34*F33)/Rounding,0)*Rounding,ROUND((($C34*F33)-BarWeight)/2/Rounding,0)*Rounding)</f>
        <v>290</v>
      </c>
      <c r="C53" s="133">
        <f>IF(WeightFormat="Yes",ROUND(($C34*G33)/Rounding,0)*Rounding,ROUND((($C34*G33)-BarWeight)/2/Rounding,0)*Rounding)</f>
        <v>310</v>
      </c>
      <c r="D53" s="133">
        <f>IF(WeightFormat="Yes",ROUND(($C34*H33)/Rounding,0)*Rounding,ROUND((($C34*H33)-BarWeight)/2/Rounding,0)*Rounding)</f>
        <v>330</v>
      </c>
      <c r="E53" s="133">
        <f>IF(WeightFormat="Yes",ROUND(($C34*I33)/Rounding,0)*Rounding,ROUND((($C34*I33)-BarWeight)/2/Rounding,0)*Rounding)</f>
        <v>195</v>
      </c>
      <c r="F53" s="66"/>
      <c r="G53" s="66"/>
      <c r="H53" s="66"/>
      <c r="I53" s="56"/>
      <c r="K53" s="56"/>
      <c r="L53" s="56"/>
    </row>
    <row r="54" spans="1:12" s="137" customFormat="1" ht="15">
      <c r="A54" s="135" t="s">
        <v>36</v>
      </c>
      <c r="B54" s="93">
        <f>IF(WeightFormat="Yes",ROUND(($C34*F34)/Rounding,0)*Rounding,ROUND((($C34*F34)-BarWeight)/2/Rounding,0)*Rounding)</f>
        <v>330</v>
      </c>
      <c r="C54" s="93">
        <f>IF(WeightFormat="Yes",ROUND(($C34*G34)/Rounding,0)*Rounding,ROUND((($C34*G34)-BarWeight)/2/Rounding,0)*Rounding)</f>
        <v>350</v>
      </c>
      <c r="D54" s="93">
        <f>IF(WeightFormat="Yes",ROUND(($C34*H34)/Rounding,0)*Rounding,ROUND((($C34*H34)-BarWeight)/2/Rounding,0)*Rounding)</f>
        <v>365</v>
      </c>
      <c r="E54" s="93">
        <f>IF(WeightFormat="Yes",ROUND(($C34*I34)/Rounding,0)*Rounding,ROUND((($C34*I34)-BarWeight)/2/Rounding,0)*Rounding)</f>
        <v>230</v>
      </c>
      <c r="F54" s="57"/>
      <c r="G54" s="58">
        <f>IF(OR(ISERROR(F55),ISERROR(G55)),0,(G55-F55)/F55)</f>
        <v>0</v>
      </c>
      <c r="H54" s="58">
        <f>IF(OR(ISERROR(G55),ISERROR(H55)),0,(H55-G55)/G55)</f>
        <v>0</v>
      </c>
      <c r="I54" s="59"/>
      <c r="K54" s="59"/>
      <c r="L54" s="59"/>
    </row>
    <row r="55" spans="1:12" s="154" customFormat="1" ht="15.75" thickBot="1">
      <c r="A55" s="153" t="s">
        <v>37</v>
      </c>
      <c r="B55" s="97"/>
      <c r="C55" s="97"/>
      <c r="D55" s="97"/>
      <c r="E55" s="97" t="s">
        <v>15</v>
      </c>
      <c r="F55" s="77" t="e">
        <f>IF(B55=0,NA(),IF(WeightFormat="No",((B54*2)+BarWeight)/(1.0278-(0.0278*B55)),B54/(1.0278-(0.0278*B55))))</f>
        <v>#N/A</v>
      </c>
      <c r="G55" s="77" t="e">
        <f>IF(C55=0,NA(),IF(WeightFormat="No",((C54*2)+BarWeight)/(1.0278-(0.0278*C55)),C54/(1.0278-(0.0278*C55))))</f>
        <v>#N/A</v>
      </c>
      <c r="H55" s="77" t="e">
        <f>IF(D55=0,NA(),IF(WeightFormat="No",((D54*2)+BarWeight)/(1.0278-(0.0278*D55)),D54/(1.0278-(0.0278*D55))))</f>
        <v>#N/A</v>
      </c>
      <c r="I55" s="87"/>
      <c r="K55" s="101" t="str">
        <f>K28</f>
        <v>5 x 10</v>
      </c>
      <c r="L55" s="101" t="str">
        <f>L28</f>
        <v>3 x 10</v>
      </c>
    </row>
    <row r="56" spans="1:12" s="116" customFormat="1" ht="19.5" thickBot="1">
      <c r="A56" s="115" t="s">
        <v>40</v>
      </c>
      <c r="B56" s="206" t="str">
        <f>TEXT(B63,"dd mmm")&amp;" to "&amp;TEXT(E78,"dd mmm yyyy")</f>
        <v>07 Mar to 01 Apr 2011</v>
      </c>
      <c r="C56" s="207"/>
      <c r="D56" s="207"/>
      <c r="E56" s="207"/>
      <c r="F56" s="207"/>
      <c r="G56" s="207"/>
      <c r="H56" s="207"/>
      <c r="I56" s="208"/>
      <c r="K56" s="88"/>
      <c r="L56" s="88"/>
    </row>
    <row r="57" spans="1:12" s="119" customFormat="1" ht="15">
      <c r="A57" s="117" t="s">
        <v>5</v>
      </c>
      <c r="B57" s="118" t="s">
        <v>0</v>
      </c>
      <c r="C57" s="79">
        <v>0.9</v>
      </c>
      <c r="D57" s="209"/>
      <c r="E57" s="210"/>
      <c r="F57" s="216" t="s">
        <v>14</v>
      </c>
      <c r="G57" s="217"/>
      <c r="H57" s="217"/>
      <c r="I57" s="218"/>
      <c r="K57" s="89"/>
      <c r="L57" s="89"/>
    </row>
    <row r="58" spans="1:12" s="122" customFormat="1" ht="15">
      <c r="A58" s="90" t="str">
        <f>ExOne</f>
        <v>Squat</v>
      </c>
      <c r="B58" s="120">
        <f>B31+(IncrOne/C57)</f>
        <v>1081.2222222222222</v>
      </c>
      <c r="C58" s="121">
        <f>B58*$C$3</f>
        <v>973.1</v>
      </c>
      <c r="D58" s="211"/>
      <c r="E58" s="212"/>
      <c r="F58" s="42" t="s">
        <v>6</v>
      </c>
      <c r="G58" s="43" t="s">
        <v>7</v>
      </c>
      <c r="H58" s="43" t="s">
        <v>12</v>
      </c>
      <c r="I58" s="44" t="s">
        <v>13</v>
      </c>
      <c r="K58" s="90"/>
      <c r="L58" s="90"/>
    </row>
    <row r="59" spans="1:12" s="122" customFormat="1" ht="15">
      <c r="A59" s="90" t="str">
        <f>ExTwo</f>
        <v>Bench Press</v>
      </c>
      <c r="B59" s="120">
        <f>B32+(IncrTwo/C57)</f>
        <v>540.1111111111111</v>
      </c>
      <c r="C59" s="121">
        <f>B59*$C$3</f>
        <v>486.09999999999997</v>
      </c>
      <c r="D59" s="211"/>
      <c r="E59" s="212"/>
      <c r="F59" s="45">
        <v>0.65</v>
      </c>
      <c r="G59" s="45">
        <v>0.7</v>
      </c>
      <c r="H59" s="45">
        <v>0.75</v>
      </c>
      <c r="I59" s="46">
        <v>0.4</v>
      </c>
      <c r="K59" s="90"/>
      <c r="L59" s="90"/>
    </row>
    <row r="60" spans="1:12" s="122" customFormat="1" ht="15">
      <c r="A60" s="90" t="str">
        <f>ExThree</f>
        <v>Deadlift</v>
      </c>
      <c r="B60" s="120">
        <f>B33+(IncrThree/C57)</f>
        <v>869.2222222222222</v>
      </c>
      <c r="C60" s="121">
        <f>B60*$C$3</f>
        <v>782.3</v>
      </c>
      <c r="D60" s="211"/>
      <c r="E60" s="212"/>
      <c r="F60" s="45">
        <v>0.75</v>
      </c>
      <c r="G60" s="45">
        <v>0.8</v>
      </c>
      <c r="H60" s="45">
        <v>0.85</v>
      </c>
      <c r="I60" s="46">
        <v>0.5</v>
      </c>
      <c r="K60" s="90"/>
      <c r="L60" s="90"/>
    </row>
    <row r="61" spans="1:12" s="119" customFormat="1" ht="15">
      <c r="A61" s="89" t="str">
        <f>ExFour</f>
        <v>Shoulder Press</v>
      </c>
      <c r="B61" s="155">
        <f>B34+(IncrFour/C57)</f>
        <v>435.1111111111111</v>
      </c>
      <c r="C61" s="123">
        <f>B61*$C$3</f>
        <v>391.59999999999997</v>
      </c>
      <c r="D61" s="213"/>
      <c r="E61" s="214"/>
      <c r="F61" s="45">
        <v>0.85</v>
      </c>
      <c r="G61" s="45">
        <v>0.9</v>
      </c>
      <c r="H61" s="45">
        <v>0.95</v>
      </c>
      <c r="I61" s="46">
        <v>0.6</v>
      </c>
      <c r="K61" s="89"/>
      <c r="L61" s="89"/>
    </row>
    <row r="62" spans="1:12" s="126" customFormat="1" ht="15.75" thickBot="1">
      <c r="A62" s="124" t="s">
        <v>5</v>
      </c>
      <c r="B62" s="125"/>
      <c r="C62" s="125"/>
      <c r="D62" s="125"/>
      <c r="E62" s="125"/>
      <c r="F62" s="47"/>
      <c r="G62" s="47"/>
      <c r="H62" s="47"/>
      <c r="I62" s="48"/>
      <c r="K62" s="48"/>
      <c r="L62" s="48"/>
    </row>
    <row r="63" spans="1:12" s="130" customFormat="1" ht="15">
      <c r="A63" s="127" t="str">
        <f>A58</f>
        <v>Squat</v>
      </c>
      <c r="B63" s="128">
        <f>B36+28</f>
        <v>40609</v>
      </c>
      <c r="C63" s="129">
        <f>B63+7</f>
        <v>40616</v>
      </c>
      <c r="D63" s="129">
        <f>C63+7</f>
        <v>40623</v>
      </c>
      <c r="E63" s="129">
        <f>D63+7</f>
        <v>40630</v>
      </c>
      <c r="F63" s="49"/>
      <c r="G63" s="49"/>
      <c r="H63" s="49"/>
      <c r="I63" s="80"/>
      <c r="K63" s="91" t="s">
        <v>55</v>
      </c>
      <c r="L63" s="91" t="s">
        <v>13</v>
      </c>
    </row>
    <row r="64" spans="1:12" ht="15">
      <c r="A64" s="131" t="s">
        <v>34</v>
      </c>
      <c r="B64" s="93">
        <f>IF(WeightFormat="Yes",ROUND(($C58*F59)/Rounding,0)*Rounding,ROUND((($C58*F59)-BarWeight)/2/Rounding,0)*Rounding)</f>
        <v>635</v>
      </c>
      <c r="C64" s="93">
        <f>IF(WeightFormat="Yes",ROUND(($C58*G59)/Rounding,0)*Rounding,ROUND((($C58*G59)-BarWeight)/2/Rounding,0)*Rounding)</f>
        <v>680</v>
      </c>
      <c r="D64" s="93">
        <f>IF(WeightFormat="Yes",ROUND(($C58*H59)/Rounding,0)*Rounding,ROUND((($C58*H59)-BarWeight)/2/Rounding,0)*Rounding)</f>
        <v>730</v>
      </c>
      <c r="E64" s="93">
        <f>IF(WeightFormat="Yes",ROUND(($C58*I59)/Rounding,0)*Rounding,ROUND((($C58*I59)-BarWeight)/2/Rounding,0)*Rounding)</f>
        <v>390</v>
      </c>
      <c r="F64" s="51"/>
      <c r="K64" s="92">
        <f>IF(WeightFormat="Yes",ROUND((C58*BBBPercentage)/Rounding,0)*Rounding,ROUND((($C58*BBBPercentage)-BarWeight)/2/Rounding,0)*Rounding)</f>
        <v>485</v>
      </c>
      <c r="L64" s="93">
        <f>K64</f>
        <v>485</v>
      </c>
    </row>
    <row r="65" spans="1:12" s="134" customFormat="1" ht="15">
      <c r="A65" s="132" t="s">
        <v>35</v>
      </c>
      <c r="B65" s="133">
        <f>IF(WeightFormat="Yes",ROUND(($C58*F60)/Rounding,0)*Rounding,ROUND((($C58*F60)-BarWeight)/2/Rounding,0)*Rounding)</f>
        <v>730</v>
      </c>
      <c r="C65" s="133">
        <f>IF(WeightFormat="Yes",ROUND(($C58*G60)/Rounding,0)*Rounding,ROUND((($C58*G60)-BarWeight)/2/Rounding,0)*Rounding)</f>
        <v>780</v>
      </c>
      <c r="D65" s="133">
        <f>IF(WeightFormat="Yes",ROUND(($C58*H60)/Rounding,0)*Rounding,ROUND((($C58*H60)-BarWeight)/2/Rounding,0)*Rounding)</f>
        <v>825</v>
      </c>
      <c r="E65" s="133">
        <f>IF(WeightFormat="Yes",ROUND(($C58*I60)/Rounding,0)*Rounding,ROUND((($C58*I60)-BarWeight)/2/Rounding,0)*Rounding)</f>
        <v>485</v>
      </c>
      <c r="F65" s="54"/>
      <c r="G65" s="55"/>
      <c r="H65" s="55"/>
      <c r="I65" s="56"/>
      <c r="K65" s="56"/>
      <c r="L65" s="56"/>
    </row>
    <row r="66" spans="1:12" s="137" customFormat="1" ht="15">
      <c r="A66" s="135" t="s">
        <v>36</v>
      </c>
      <c r="B66" s="136">
        <f>IF(WeightFormat="Yes",ROUND(($C58*F61)/Rounding,0)*Rounding,ROUND((($C58*F61)-BarWeight)/2/Rounding,0)*Rounding)</f>
        <v>825</v>
      </c>
      <c r="C66" s="136">
        <f>IF(WeightFormat="Yes",ROUND(($C58*G61)/Rounding,0)*Rounding,ROUND((($C58*G61)-BarWeight)/2/Rounding,0)*Rounding)</f>
        <v>875</v>
      </c>
      <c r="D66" s="136">
        <f>IF(WeightFormat="Yes",ROUND(($C58*H61)/Rounding,0)*Rounding,ROUND((($C58*H61)-BarWeight)/2/Rounding,0)*Rounding)</f>
        <v>925</v>
      </c>
      <c r="E66" s="136">
        <f>IF(WeightFormat="Yes",ROUND(($C58*I61)/Rounding,0)*Rounding,ROUND((($C58*I61)-BarWeight)/2/Rounding,0)*Rounding)</f>
        <v>585</v>
      </c>
      <c r="F66" s="57"/>
      <c r="G66" s="58">
        <f>IF(OR(ISERROR(F67),ISERROR(G67)),0,(G67-F67)/F67)</f>
        <v>0</v>
      </c>
      <c r="H66" s="58">
        <f>IF(OR(ISERROR(G67),ISERROR(H67)),0,(H67-G67)/G67)</f>
        <v>0</v>
      </c>
      <c r="I66" s="59"/>
      <c r="K66" s="59"/>
      <c r="L66" s="59"/>
    </row>
    <row r="67" spans="1:12" s="139" customFormat="1" ht="15.75" thickBot="1">
      <c r="A67" s="138" t="s">
        <v>37</v>
      </c>
      <c r="B67" s="94"/>
      <c r="C67" s="94"/>
      <c r="D67" s="94"/>
      <c r="E67" s="94" t="s">
        <v>15</v>
      </c>
      <c r="F67" s="60" t="e">
        <f>IF(B67=0,NA(),IF(WeightFormat="No",((B66*2)+BarWeight)/(1.0278-(0.0278*B67)),B66/(1.0278-(0.0278*B67))))</f>
        <v>#N/A</v>
      </c>
      <c r="G67" s="60" t="e">
        <f>IF(C67=0,NA(),IF(WeightFormat="No",((C66*2)+BarWeight)/(1.0278-(0.0278*C67)),C66/(1.0278-(0.0278*C67))))</f>
        <v>#N/A</v>
      </c>
      <c r="H67" s="60" t="e">
        <f>IF(D67=0,NA(),IF(WeightFormat="No",((D66*2)+BarWeight)/(1.0278-(0.0278*D67)),D66/(1.0278-(0.0278*D67))))</f>
        <v>#N/A</v>
      </c>
      <c r="I67" s="81"/>
      <c r="K67" s="98" t="str">
        <f>K40</f>
        <v>5 x 10</v>
      </c>
      <c r="L67" s="98" t="str">
        <f>L40</f>
        <v>3 x 10</v>
      </c>
    </row>
    <row r="68" spans="1:12" s="142" customFormat="1" ht="15">
      <c r="A68" s="140" t="str">
        <f>A59</f>
        <v>Bench Press</v>
      </c>
      <c r="B68" s="141">
        <f>B41+28</f>
        <v>40611</v>
      </c>
      <c r="C68" s="141">
        <f>B68+7</f>
        <v>40618</v>
      </c>
      <c r="D68" s="141">
        <f>C68+7</f>
        <v>40625</v>
      </c>
      <c r="E68" s="141">
        <f>D68+7</f>
        <v>40632</v>
      </c>
      <c r="F68" s="62"/>
      <c r="G68" s="62"/>
      <c r="H68" s="62"/>
      <c r="I68" s="82"/>
      <c r="K68" s="82"/>
      <c r="L68" s="82"/>
    </row>
    <row r="69" spans="1:12" ht="15">
      <c r="A69" s="131" t="s">
        <v>34</v>
      </c>
      <c r="B69" s="93">
        <f>IF(WeightFormat="Yes",ROUND(($C59*F59)/Rounding,0)*Rounding,ROUND((($C59*F59)-BarWeight)/2/Rounding,0)*Rounding)</f>
        <v>315</v>
      </c>
      <c r="C69" s="93">
        <f>IF(WeightFormat="Yes",ROUND(($C59*G59)/Rounding,0)*Rounding,ROUND((($C59*G59)-BarWeight)/2/Rounding,0)*Rounding)</f>
        <v>340</v>
      </c>
      <c r="D69" s="93">
        <f>IF(WeightFormat="Yes",ROUND(($C59*H59)/Rounding,0)*Rounding,ROUND((($C59*H59)-BarWeight)/2/Rounding,0)*Rounding)</f>
        <v>365</v>
      </c>
      <c r="E69" s="93">
        <f>IF(WeightFormat="Yes",ROUND(($C59*I59)/Rounding,0)*Rounding,ROUND((($C59*I59)-BarWeight)/2/Rounding,0)*Rounding)</f>
        <v>195</v>
      </c>
      <c r="F69" s="64"/>
      <c r="G69" s="64"/>
      <c r="H69" s="64"/>
      <c r="K69" s="92">
        <f>IF(WeightFormat="Yes",ROUND((C59*BBBPercentage)/Rounding,0)*Rounding,ROUND((($C59*BBBPercentage)-BarWeight)/2/Rounding,0)*Rounding)</f>
        <v>245</v>
      </c>
      <c r="L69" s="93">
        <f>K69</f>
        <v>245</v>
      </c>
    </row>
    <row r="70" spans="1:12" s="134" customFormat="1" ht="15">
      <c r="A70" s="132" t="s">
        <v>35</v>
      </c>
      <c r="B70" s="133">
        <f>IF(WeightFormat="Yes",ROUND(($C59*F60)/Rounding,0)*Rounding,ROUND((($C59*F60)-BarWeight)/2/Rounding,0)*Rounding)</f>
        <v>365</v>
      </c>
      <c r="C70" s="133">
        <f>IF(WeightFormat="Yes",ROUND(($C59*G60)/Rounding,0)*Rounding,ROUND((($C59*G60)-BarWeight)/2/Rounding,0)*Rounding)</f>
        <v>390</v>
      </c>
      <c r="D70" s="133">
        <f>IF(WeightFormat="Yes",ROUND(($C59*H60)/Rounding,0)*Rounding,ROUND((($C59*H60)-BarWeight)/2/Rounding,0)*Rounding)</f>
        <v>415</v>
      </c>
      <c r="E70" s="133">
        <f>IF(WeightFormat="Yes",ROUND(($C59*I60)/Rounding,0)*Rounding,ROUND((($C59*I60)-BarWeight)/2/Rounding,0)*Rounding)</f>
        <v>245</v>
      </c>
      <c r="F70" s="66"/>
      <c r="G70" s="66"/>
      <c r="H70" s="66"/>
      <c r="I70" s="56"/>
      <c r="K70" s="56"/>
      <c r="L70" s="56"/>
    </row>
    <row r="71" spans="1:12" s="137" customFormat="1" ht="15">
      <c r="A71" s="135" t="s">
        <v>36</v>
      </c>
      <c r="B71" s="136">
        <f>IF(WeightFormat="Yes",ROUND(($C59*F61)/Rounding,0)*Rounding,ROUND((($C59*F61)-BarWeight)/2/Rounding,0)*Rounding)</f>
        <v>415</v>
      </c>
      <c r="C71" s="136">
        <f>IF(WeightFormat="Yes",ROUND(($C59*G61)/Rounding,0)*Rounding,ROUND((($C59*G61)-BarWeight)/2/Rounding,0)*Rounding)</f>
        <v>435</v>
      </c>
      <c r="D71" s="136">
        <f>IF(WeightFormat="Yes",ROUND(($C59*H61)/Rounding,0)*Rounding,ROUND((($C59*H61)-BarWeight)/2/Rounding,0)*Rounding)</f>
        <v>460</v>
      </c>
      <c r="E71" s="136">
        <f>IF(WeightFormat="Yes",ROUND(($C59*I61)/Rounding,0)*Rounding,ROUND((($C59*I61)-BarWeight)/2/Rounding,0)*Rounding)</f>
        <v>290</v>
      </c>
      <c r="F71" s="57"/>
      <c r="G71" s="58">
        <f>IF(OR(ISERROR(F72),ISERROR(G72)),0,(G72-F72)/F72)</f>
        <v>0</v>
      </c>
      <c r="H71" s="58">
        <f>IF(OR(ISERROR(G72),ISERROR(H72)),0,(H72-G72)/G72)</f>
        <v>0</v>
      </c>
      <c r="I71" s="59"/>
      <c r="K71" s="59"/>
      <c r="L71" s="59"/>
    </row>
    <row r="72" spans="1:12" s="144" customFormat="1" ht="15.75" thickBot="1">
      <c r="A72" s="143" t="s">
        <v>37</v>
      </c>
      <c r="B72" s="95"/>
      <c r="C72" s="95"/>
      <c r="D72" s="95"/>
      <c r="E72" s="95" t="s">
        <v>15</v>
      </c>
      <c r="F72" s="69" t="e">
        <f>IF(B72=0,NA(),IF(WeightFormat="No",((B71*2)+BarWeight)/(1.0278-(0.0278*B72)),B71/(1.0278-(0.0278*B72))))</f>
        <v>#N/A</v>
      </c>
      <c r="G72" s="69" t="e">
        <f>IF(C72=0,NA(),IF(WeightFormat="No",((C71*2)+BarWeight)/(1.0278-(0.0278*C72)),C71/(1.0278-(0.0278*C72))))</f>
        <v>#N/A</v>
      </c>
      <c r="H72" s="69" t="e">
        <f>IF(D72=0,NA(),IF(WeightFormat="No",((D71*2)+BarWeight)/(1.0278-(0.0278*D72)),D71/(1.0278-(0.0278*D72))))</f>
        <v>#N/A</v>
      </c>
      <c r="I72" s="83"/>
      <c r="K72" s="99" t="str">
        <f>K45</f>
        <v>5 x 10</v>
      </c>
      <c r="L72" s="99" t="str">
        <f>L45</f>
        <v>3 x 10</v>
      </c>
    </row>
    <row r="73" spans="1:12" s="147" customFormat="1" ht="15">
      <c r="A73" s="145" t="str">
        <f>A60</f>
        <v>Deadlift</v>
      </c>
      <c r="B73" s="146">
        <f>B46+28</f>
        <v>40612</v>
      </c>
      <c r="C73" s="146">
        <f>B73+7</f>
        <v>40619</v>
      </c>
      <c r="D73" s="146">
        <f>C73+7</f>
        <v>40626</v>
      </c>
      <c r="E73" s="146">
        <f>D73+7</f>
        <v>40633</v>
      </c>
      <c r="F73" s="71"/>
      <c r="G73" s="71"/>
      <c r="H73" s="71"/>
      <c r="I73" s="84"/>
      <c r="K73" s="84"/>
      <c r="L73" s="84"/>
    </row>
    <row r="74" spans="1:12" ht="15">
      <c r="A74" s="131" t="s">
        <v>34</v>
      </c>
      <c r="B74" s="93">
        <f>IF(WeightFormat="Yes",ROUND(($C60*F59)/Rounding,0)*Rounding,ROUND((($C60*F59)-BarWeight)/2/Rounding,0)*Rounding)</f>
        <v>510</v>
      </c>
      <c r="C74" s="93">
        <f>IF(WeightFormat="Yes",ROUND(($C60*G59)/Rounding,0)*Rounding,ROUND((($C60*G59)-BarWeight)/2/Rounding,0)*Rounding)</f>
        <v>550</v>
      </c>
      <c r="D74" s="93">
        <f>IF(WeightFormat="Yes",ROUND(($C60*H59)/Rounding,0)*Rounding,ROUND((($C60*H59)-BarWeight)/2/Rounding,0)*Rounding)</f>
        <v>585</v>
      </c>
      <c r="E74" s="93">
        <f>IF(WeightFormat="Yes",ROUND(($C60*I59)/Rounding,0)*Rounding,ROUND((($C60*I59)-BarWeight)/2/Rounding,0)*Rounding)</f>
        <v>315</v>
      </c>
      <c r="F74" s="64"/>
      <c r="G74" s="64"/>
      <c r="H74" s="64"/>
      <c r="K74" s="92">
        <f>IF(WeightFormat="Yes",ROUND((C60*BBBPercentage)/Rounding,0)*Rounding,ROUND((($C60*BBBPercentage)-BarWeight)/2/Rounding,0)*Rounding)</f>
        <v>390</v>
      </c>
      <c r="L74" s="93">
        <f>K74</f>
        <v>390</v>
      </c>
    </row>
    <row r="75" spans="1:12" s="134" customFormat="1" ht="15">
      <c r="A75" s="132" t="s">
        <v>35</v>
      </c>
      <c r="B75" s="133">
        <f>IF(WeightFormat="Yes",ROUND(($C60*F60)/Rounding,0)*Rounding,ROUND((($C60*F60)-BarWeight)/2/Rounding,0)*Rounding)</f>
        <v>585</v>
      </c>
      <c r="C75" s="133">
        <f>IF(WeightFormat="Yes",ROUND(($C60*G60)/Rounding,0)*Rounding,ROUND((($C60*G60)-BarWeight)/2/Rounding,0)*Rounding)</f>
        <v>625</v>
      </c>
      <c r="D75" s="133">
        <f>IF(WeightFormat="Yes",ROUND(($C60*H60)/Rounding,0)*Rounding,ROUND((($C60*H60)-BarWeight)/2/Rounding,0)*Rounding)</f>
        <v>665</v>
      </c>
      <c r="E75" s="133">
        <f>IF(WeightFormat="Yes",ROUND(($C60*I60)/Rounding,0)*Rounding,ROUND((($C60*I60)-BarWeight)/2/Rounding,0)*Rounding)</f>
        <v>390</v>
      </c>
      <c r="F75" s="66"/>
      <c r="G75" s="66"/>
      <c r="H75" s="66"/>
      <c r="I75" s="56"/>
      <c r="K75" s="56"/>
      <c r="L75" s="56"/>
    </row>
    <row r="76" spans="1:12" s="137" customFormat="1" ht="15">
      <c r="A76" s="135" t="s">
        <v>36</v>
      </c>
      <c r="B76" s="136">
        <f>IF(WeightFormat="Yes",ROUND(($C60*F61)/Rounding,0)*Rounding,ROUND((($C60*F61)-BarWeight)/2/Rounding,0)*Rounding)</f>
        <v>665</v>
      </c>
      <c r="C76" s="136">
        <f>IF(WeightFormat="Yes",ROUND(($C60*G61)/Rounding,0)*Rounding,ROUND((($C60*G61)-BarWeight)/2/Rounding,0)*Rounding)</f>
        <v>705</v>
      </c>
      <c r="D76" s="136">
        <f>IF(WeightFormat="Yes",ROUND(($C60*H61)/Rounding,0)*Rounding,ROUND((($C60*H61)-BarWeight)/2/Rounding,0)*Rounding)</f>
        <v>745</v>
      </c>
      <c r="E76" s="136">
        <f>IF(WeightFormat="Yes",ROUND(($C60*I61)/Rounding,0)*Rounding,ROUND((($C60*I61)-BarWeight)/2/Rounding,0)*Rounding)</f>
        <v>470</v>
      </c>
      <c r="F76" s="57"/>
      <c r="G76" s="58">
        <f>IF(OR(ISERROR(F77),ISERROR(G77)),0,(G77-F77)/F77)</f>
        <v>0</v>
      </c>
      <c r="H76" s="58">
        <f>IF(OR(ISERROR(G77),ISERROR(H77)),0,(H77-G77)/G77)</f>
        <v>0</v>
      </c>
      <c r="I76" s="59"/>
      <c r="K76" s="59"/>
      <c r="L76" s="59"/>
    </row>
    <row r="77" spans="1:12" s="149" customFormat="1" ht="15.75" thickBot="1">
      <c r="A77" s="148" t="s">
        <v>37</v>
      </c>
      <c r="B77" s="96"/>
      <c r="C77" s="96"/>
      <c r="D77" s="96"/>
      <c r="E77" s="96" t="s">
        <v>15</v>
      </c>
      <c r="F77" s="73" t="e">
        <f>IF(B77=0,NA(),IF(WeightFormat="No",((B76*2)+BarWeight)/(1.0278-(0.0278*B77)),B76/(1.0278-(0.0278*B77))))</f>
        <v>#N/A</v>
      </c>
      <c r="G77" s="73" t="e">
        <f>IF(C77=0,NA(),IF(WeightFormat="No",((C76*2)+BarWeight)/(1.0278-(0.0278*C77)),C76/(1.0278-(0.0278*C77))))</f>
        <v>#N/A</v>
      </c>
      <c r="H77" s="73" t="e">
        <f>IF(D77=0,NA(),IF(WeightFormat="No",((D76*2)+BarWeight)/(1.0278-(0.0278*D77)),D76/(1.0278-(0.0278*D77))))</f>
        <v>#N/A</v>
      </c>
      <c r="I77" s="85"/>
      <c r="K77" s="100" t="str">
        <f>K50</f>
        <v>5 x 8</v>
      </c>
      <c r="L77" s="100" t="str">
        <f>L50</f>
        <v>3 x 8</v>
      </c>
    </row>
    <row r="78" spans="1:12" s="152" customFormat="1" ht="15">
      <c r="A78" s="150" t="str">
        <f>A61</f>
        <v>Shoulder Press</v>
      </c>
      <c r="B78" s="151">
        <f>B51+28</f>
        <v>40613</v>
      </c>
      <c r="C78" s="151">
        <f>B78+7</f>
        <v>40620</v>
      </c>
      <c r="D78" s="151">
        <f>C78+7</f>
        <v>40627</v>
      </c>
      <c r="E78" s="151">
        <f>D78+7</f>
        <v>40634</v>
      </c>
      <c r="F78" s="75"/>
      <c r="G78" s="75"/>
      <c r="H78" s="75"/>
      <c r="I78" s="86"/>
      <c r="K78" s="86"/>
      <c r="L78" s="86"/>
    </row>
    <row r="79" spans="1:12" ht="15">
      <c r="A79" s="131" t="s">
        <v>34</v>
      </c>
      <c r="B79" s="93">
        <f>IF(WeightFormat="Yes",ROUND(($C61*F59)/Rounding,0)*Rounding,ROUND((($C61*F59)-BarWeight)/2/Rounding,0)*Rounding)</f>
        <v>255</v>
      </c>
      <c r="C79" s="93">
        <f>IF(WeightFormat="Yes",ROUND(($C61*G59)/Rounding,0)*Rounding,ROUND((($C61*G59)-BarWeight)/2/Rounding,0)*Rounding)</f>
        <v>275</v>
      </c>
      <c r="D79" s="93">
        <f>IF(WeightFormat="Yes",ROUND(($C61*H59)/Rounding,0)*Rounding,ROUND((($C61*H59)-BarWeight)/2/Rounding,0)*Rounding)</f>
        <v>295</v>
      </c>
      <c r="E79" s="93">
        <f>IF(WeightFormat="Yes",ROUND(($C61*I59)/Rounding,0)*Rounding,ROUND((($C61*I59)-BarWeight)/2/Rounding,0)*Rounding)</f>
        <v>155</v>
      </c>
      <c r="F79" s="64"/>
      <c r="G79" s="64"/>
      <c r="H79" s="64"/>
      <c r="K79" s="92">
        <f>IF(WeightFormat="Yes",ROUND((C61*BBBPercentage)/Rounding,0)*Rounding,ROUND((($C61*BBBPercentage)-BarWeight)/2/Rounding,0)*Rounding)</f>
        <v>195</v>
      </c>
      <c r="L79" s="93">
        <f>K79</f>
        <v>195</v>
      </c>
    </row>
    <row r="80" spans="1:12" s="134" customFormat="1" ht="15">
      <c r="A80" s="132" t="s">
        <v>35</v>
      </c>
      <c r="B80" s="133">
        <f>IF(WeightFormat="Yes",ROUND(($C61*F60)/Rounding,0)*Rounding,ROUND((($C61*F60)-BarWeight)/2/Rounding,0)*Rounding)</f>
        <v>295</v>
      </c>
      <c r="C80" s="133">
        <f>IF(WeightFormat="Yes",ROUND(($C61*G60)/Rounding,0)*Rounding,ROUND((($C61*G60)-BarWeight)/2/Rounding,0)*Rounding)</f>
        <v>315</v>
      </c>
      <c r="D80" s="133">
        <f>IF(WeightFormat="Yes",ROUND(($C61*H60)/Rounding,0)*Rounding,ROUND((($C61*H60)-BarWeight)/2/Rounding,0)*Rounding)</f>
        <v>335</v>
      </c>
      <c r="E80" s="133">
        <f>IF(WeightFormat="Yes",ROUND(($C61*I60)/Rounding,0)*Rounding,ROUND((($C61*I60)-BarWeight)/2/Rounding,0)*Rounding)</f>
        <v>195</v>
      </c>
      <c r="F80" s="66"/>
      <c r="G80" s="66"/>
      <c r="H80" s="66"/>
      <c r="I80" s="56"/>
      <c r="K80" s="56"/>
      <c r="L80" s="56"/>
    </row>
    <row r="81" spans="1:12" s="137" customFormat="1" ht="15">
      <c r="A81" s="135" t="s">
        <v>36</v>
      </c>
      <c r="B81" s="93">
        <f>IF(WeightFormat="Yes",ROUND(($C61*F61)/Rounding,0)*Rounding,ROUND((($C61*F61)-BarWeight)/2/Rounding,0)*Rounding)</f>
        <v>335</v>
      </c>
      <c r="C81" s="93">
        <f>IF(WeightFormat="Yes",ROUND(($C61*G61)/Rounding,0)*Rounding,ROUND((($C61*G61)-BarWeight)/2/Rounding,0)*Rounding)</f>
        <v>350</v>
      </c>
      <c r="D81" s="93">
        <f>IF(WeightFormat="Yes",ROUND(($C61*H61)/Rounding,0)*Rounding,ROUND((($C61*H61)-BarWeight)/2/Rounding,0)*Rounding)</f>
        <v>370</v>
      </c>
      <c r="E81" s="93">
        <f>IF(WeightFormat="Yes",ROUND(($C61*I61)/Rounding,0)*Rounding,ROUND((($C61*I61)-BarWeight)/2/Rounding,0)*Rounding)</f>
        <v>235</v>
      </c>
      <c r="F81" s="57"/>
      <c r="G81" s="58">
        <f>IF(OR(ISERROR(F82),ISERROR(G82)),0,(G82-F82)/F82)</f>
        <v>0</v>
      </c>
      <c r="H81" s="58">
        <f>IF(OR(ISERROR(G82),ISERROR(H82)),0,(H82-G82)/G82)</f>
        <v>0</v>
      </c>
      <c r="I81" s="59"/>
      <c r="K81" s="59"/>
      <c r="L81" s="59"/>
    </row>
    <row r="82" spans="1:12" s="154" customFormat="1" ht="15.75" thickBot="1">
      <c r="A82" s="153" t="s">
        <v>37</v>
      </c>
      <c r="B82" s="97"/>
      <c r="C82" s="97"/>
      <c r="D82" s="97"/>
      <c r="E82" s="97" t="s">
        <v>15</v>
      </c>
      <c r="F82" s="77" t="e">
        <f>IF(B82=0,NA(),IF(WeightFormat="No",((B81*2)+BarWeight)/(1.0278-(0.0278*B82)),B81/(1.0278-(0.0278*B82))))</f>
        <v>#N/A</v>
      </c>
      <c r="G82" s="77" t="e">
        <f>IF(C82=0,NA(),IF(WeightFormat="No",((C81*2)+BarWeight)/(1.0278-(0.0278*C82)),C81/(1.0278-(0.0278*C82))))</f>
        <v>#N/A</v>
      </c>
      <c r="H82" s="77" t="e">
        <f>IF(D82=0,NA(),IF(WeightFormat="No",((D81*2)+BarWeight)/(1.0278-(0.0278*D82)),D81/(1.0278-(0.0278*D82))))</f>
        <v>#N/A</v>
      </c>
      <c r="I82" s="87"/>
      <c r="K82" s="101" t="str">
        <f>K55</f>
        <v>5 x 10</v>
      </c>
      <c r="L82" s="101" t="str">
        <f>L55</f>
        <v>3 x 10</v>
      </c>
    </row>
    <row r="83" spans="1:12" s="116" customFormat="1" ht="19.5" thickBot="1">
      <c r="A83" s="115" t="s">
        <v>41</v>
      </c>
      <c r="B83" s="206" t="str">
        <f>TEXT(B90,"dd mmm")&amp;" to "&amp;TEXT(E105,"dd mmm yyyy")</f>
        <v>04 Apr to 29 Apr 2011</v>
      </c>
      <c r="C83" s="207"/>
      <c r="D83" s="207"/>
      <c r="E83" s="207"/>
      <c r="F83" s="207"/>
      <c r="G83" s="207"/>
      <c r="H83" s="207"/>
      <c r="I83" s="208"/>
      <c r="K83" s="88"/>
      <c r="L83" s="88"/>
    </row>
    <row r="84" spans="1:12" s="119" customFormat="1" ht="15">
      <c r="A84" s="117" t="s">
        <v>5</v>
      </c>
      <c r="B84" s="118" t="s">
        <v>0</v>
      </c>
      <c r="C84" s="79">
        <v>0.9</v>
      </c>
      <c r="D84" s="209"/>
      <c r="E84" s="210"/>
      <c r="F84" s="215" t="s">
        <v>14</v>
      </c>
      <c r="G84" s="215"/>
      <c r="H84" s="215"/>
      <c r="I84" s="215"/>
      <c r="K84" s="89"/>
      <c r="L84" s="89"/>
    </row>
    <row r="85" spans="1:12" s="122" customFormat="1" ht="15">
      <c r="A85" s="90" t="str">
        <f>ExOne</f>
        <v>Squat</v>
      </c>
      <c r="B85" s="120">
        <f>B58+(IncrOne/C84)</f>
        <v>1092.3333333333333</v>
      </c>
      <c r="C85" s="121">
        <f>B85*$C$3</f>
        <v>983.0999999999999</v>
      </c>
      <c r="D85" s="211"/>
      <c r="E85" s="212"/>
      <c r="F85" s="42" t="s">
        <v>6</v>
      </c>
      <c r="G85" s="43" t="s">
        <v>7</v>
      </c>
      <c r="H85" s="43" t="s">
        <v>12</v>
      </c>
      <c r="I85" s="44" t="s">
        <v>13</v>
      </c>
      <c r="K85" s="90"/>
      <c r="L85" s="90"/>
    </row>
    <row r="86" spans="1:12" s="122" customFormat="1" ht="15">
      <c r="A86" s="90" t="str">
        <f>ExTwo</f>
        <v>Bench Press</v>
      </c>
      <c r="B86" s="120">
        <f>B59+(IncrTwo/C84)</f>
        <v>545.6666666666666</v>
      </c>
      <c r="C86" s="121">
        <f>B86*$C$3</f>
        <v>491.09999999999997</v>
      </c>
      <c r="D86" s="211"/>
      <c r="E86" s="212"/>
      <c r="F86" s="45">
        <v>0.65</v>
      </c>
      <c r="G86" s="45">
        <v>0.7</v>
      </c>
      <c r="H86" s="45">
        <v>0.75</v>
      </c>
      <c r="I86" s="46">
        <v>0.4</v>
      </c>
      <c r="K86" s="90"/>
      <c r="L86" s="90"/>
    </row>
    <row r="87" spans="1:12" s="122" customFormat="1" ht="15">
      <c r="A87" s="90" t="str">
        <f>ExThree</f>
        <v>Deadlift</v>
      </c>
      <c r="B87" s="120">
        <f>B60+(IncrThree/C84)</f>
        <v>880.3333333333333</v>
      </c>
      <c r="C87" s="121">
        <f>B87*$C$3</f>
        <v>792.3</v>
      </c>
      <c r="D87" s="211"/>
      <c r="E87" s="212"/>
      <c r="F87" s="45">
        <v>0.75</v>
      </c>
      <c r="G87" s="45">
        <v>0.8</v>
      </c>
      <c r="H87" s="45">
        <v>0.85</v>
      </c>
      <c r="I87" s="46">
        <v>0.5</v>
      </c>
      <c r="K87" s="90"/>
      <c r="L87" s="90"/>
    </row>
    <row r="88" spans="1:12" s="119" customFormat="1" ht="15">
      <c r="A88" s="89" t="str">
        <f>ExFour</f>
        <v>Shoulder Press</v>
      </c>
      <c r="B88" s="155">
        <f>B61+(IncrFour/C84)</f>
        <v>440.66666666666663</v>
      </c>
      <c r="C88" s="123">
        <f>B88*$C$3</f>
        <v>396.59999999999997</v>
      </c>
      <c r="D88" s="213"/>
      <c r="E88" s="214"/>
      <c r="F88" s="45">
        <v>0.85</v>
      </c>
      <c r="G88" s="45">
        <v>0.9</v>
      </c>
      <c r="H88" s="45">
        <v>0.95</v>
      </c>
      <c r="I88" s="46">
        <v>0.6</v>
      </c>
      <c r="K88" s="89"/>
      <c r="L88" s="89"/>
    </row>
    <row r="89" spans="1:12" s="126" customFormat="1" ht="15.75" thickBot="1">
      <c r="A89" s="124" t="s">
        <v>5</v>
      </c>
      <c r="B89" s="125"/>
      <c r="C89" s="125"/>
      <c r="D89" s="125"/>
      <c r="E89" s="125"/>
      <c r="F89" s="47"/>
      <c r="G89" s="47"/>
      <c r="H89" s="47"/>
      <c r="I89" s="48"/>
      <c r="K89" s="48"/>
      <c r="L89" s="48"/>
    </row>
    <row r="90" spans="1:12" s="130" customFormat="1" ht="15">
      <c r="A90" s="127" t="str">
        <f>A85</f>
        <v>Squat</v>
      </c>
      <c r="B90" s="128">
        <f>B63+28</f>
        <v>40637</v>
      </c>
      <c r="C90" s="129">
        <f>B90+7</f>
        <v>40644</v>
      </c>
      <c r="D90" s="129">
        <f>C90+7</f>
        <v>40651</v>
      </c>
      <c r="E90" s="129">
        <f>D90+7</f>
        <v>40658</v>
      </c>
      <c r="F90" s="49"/>
      <c r="G90" s="49"/>
      <c r="H90" s="49"/>
      <c r="I90" s="80"/>
      <c r="K90" s="91" t="s">
        <v>55</v>
      </c>
      <c r="L90" s="91" t="s">
        <v>13</v>
      </c>
    </row>
    <row r="91" spans="1:12" ht="15">
      <c r="A91" s="131" t="s">
        <v>34</v>
      </c>
      <c r="B91" s="93">
        <f>IF(WeightFormat="Yes",ROUND(($C85*F86)/Rounding,0)*Rounding,ROUND((($C85*F86)-BarWeight)/2/Rounding,0)*Rounding)</f>
        <v>640</v>
      </c>
      <c r="C91" s="93">
        <f>IF(WeightFormat="Yes",ROUND(($C85*G86)/Rounding,0)*Rounding,ROUND((($C85*G86)-BarWeight)/2/Rounding,0)*Rounding)</f>
        <v>690</v>
      </c>
      <c r="D91" s="93">
        <f>IF(WeightFormat="Yes",ROUND(($C85*H86)/Rounding,0)*Rounding,ROUND((($C85*H86)-BarWeight)/2/Rounding,0)*Rounding)</f>
        <v>735</v>
      </c>
      <c r="E91" s="93">
        <f>IF(WeightFormat="Yes",ROUND(($C85*I86)/Rounding,0)*Rounding,ROUND((($C85*I86)-BarWeight)/2/Rounding,0)*Rounding)</f>
        <v>395</v>
      </c>
      <c r="F91" s="51"/>
      <c r="K91" s="92">
        <f>IF(WeightFormat="Yes",ROUND((C85*BBBPercentage)/Rounding,0)*Rounding,ROUND((($C85*BBBPercentage)-BarWeight)/2/Rounding,0)*Rounding)</f>
        <v>490</v>
      </c>
      <c r="L91" s="93">
        <f>K91</f>
        <v>490</v>
      </c>
    </row>
    <row r="92" spans="1:12" s="134" customFormat="1" ht="15">
      <c r="A92" s="132" t="s">
        <v>35</v>
      </c>
      <c r="B92" s="133">
        <f>IF(WeightFormat="Yes",ROUND(($C85*F87)/Rounding,0)*Rounding,ROUND((($C85*F87)-BarWeight)/2/Rounding,0)*Rounding)</f>
        <v>735</v>
      </c>
      <c r="C92" s="133">
        <f>IF(WeightFormat="Yes",ROUND(($C85*G87)/Rounding,0)*Rounding,ROUND((($C85*G87)-BarWeight)/2/Rounding,0)*Rounding)</f>
        <v>785</v>
      </c>
      <c r="D92" s="133">
        <f>IF(WeightFormat="Yes",ROUND(($C85*H87)/Rounding,0)*Rounding,ROUND((($C85*H87)-BarWeight)/2/Rounding,0)*Rounding)</f>
        <v>835</v>
      </c>
      <c r="E92" s="133">
        <f>IF(WeightFormat="Yes",ROUND(($C85*I87)/Rounding,0)*Rounding,ROUND((($C85*I87)-BarWeight)/2/Rounding,0)*Rounding)</f>
        <v>490</v>
      </c>
      <c r="F92" s="54"/>
      <c r="G92" s="55"/>
      <c r="H92" s="55"/>
      <c r="I92" s="56"/>
      <c r="K92" s="56"/>
      <c r="L92" s="56"/>
    </row>
    <row r="93" spans="1:12" s="137" customFormat="1" ht="15">
      <c r="A93" s="135" t="s">
        <v>36</v>
      </c>
      <c r="B93" s="136">
        <f>IF(WeightFormat="Yes",ROUND(($C85*F88)/Rounding,0)*Rounding,ROUND((($C85*F88)-BarWeight)/2/Rounding,0)*Rounding)</f>
        <v>835</v>
      </c>
      <c r="C93" s="136">
        <f>IF(WeightFormat="Yes",ROUND(($C85*G88)/Rounding,0)*Rounding,ROUND((($C85*G88)-BarWeight)/2/Rounding,0)*Rounding)</f>
        <v>885</v>
      </c>
      <c r="D93" s="136">
        <f>IF(WeightFormat="Yes",ROUND(($C85*H88)/Rounding,0)*Rounding,ROUND((($C85*H88)-BarWeight)/2/Rounding,0)*Rounding)</f>
        <v>935</v>
      </c>
      <c r="E93" s="136">
        <f>IF(WeightFormat="Yes",ROUND(($C85*I88)/Rounding,0)*Rounding,ROUND((($C85*I88)-BarWeight)/2/Rounding,0)*Rounding)</f>
        <v>590</v>
      </c>
      <c r="F93" s="57"/>
      <c r="G93" s="58">
        <f>IF(OR(ISERROR(F94),ISERROR(G94)),0,(G94-F94)/F94)</f>
        <v>0</v>
      </c>
      <c r="H93" s="58">
        <f>IF(OR(ISERROR(G94),ISERROR(H94)),0,(H94-G94)/G94)</f>
        <v>0</v>
      </c>
      <c r="I93" s="59"/>
      <c r="K93" s="59"/>
      <c r="L93" s="59"/>
    </row>
    <row r="94" spans="1:12" s="139" customFormat="1" ht="15.75" thickBot="1">
      <c r="A94" s="138" t="s">
        <v>37</v>
      </c>
      <c r="B94" s="94"/>
      <c r="C94" s="94"/>
      <c r="D94" s="94"/>
      <c r="E94" s="94" t="s">
        <v>15</v>
      </c>
      <c r="F94" s="60" t="e">
        <f>IF(B94=0,NA(),IF(WeightFormat="No",((B93*2)+BarWeight)/(1.0278-(0.0278*B94)),B93/(1.0278-(0.0278*B94))))</f>
        <v>#N/A</v>
      </c>
      <c r="G94" s="60" t="e">
        <f>IF(C94=0,NA(),IF(WeightFormat="No",((C93*2)+BarWeight)/(1.0278-(0.0278*C94)),C93/(1.0278-(0.0278*C94))))</f>
        <v>#N/A</v>
      </c>
      <c r="H94" s="60" t="e">
        <f>IF(D94=0,NA(),IF(WeightFormat="No",((D93*2)+BarWeight)/(1.0278-(0.0278*D94)),D93/(1.0278-(0.0278*D94))))</f>
        <v>#N/A</v>
      </c>
      <c r="I94" s="81"/>
      <c r="K94" s="98" t="str">
        <f>K67</f>
        <v>5 x 10</v>
      </c>
      <c r="L94" s="98" t="str">
        <f>L67</f>
        <v>3 x 10</v>
      </c>
    </row>
    <row r="95" spans="1:12" s="142" customFormat="1" ht="15">
      <c r="A95" s="140" t="str">
        <f>A86</f>
        <v>Bench Press</v>
      </c>
      <c r="B95" s="141">
        <f>B68+28</f>
        <v>40639</v>
      </c>
      <c r="C95" s="141">
        <f>B95+7</f>
        <v>40646</v>
      </c>
      <c r="D95" s="141">
        <f>C95+7</f>
        <v>40653</v>
      </c>
      <c r="E95" s="141">
        <f>D95+7</f>
        <v>40660</v>
      </c>
      <c r="F95" s="62"/>
      <c r="G95" s="62"/>
      <c r="H95" s="62"/>
      <c r="I95" s="82"/>
      <c r="K95" s="82"/>
      <c r="L95" s="82"/>
    </row>
    <row r="96" spans="1:12" ht="15">
      <c r="A96" s="131" t="s">
        <v>34</v>
      </c>
      <c r="B96" s="93">
        <f>IF(WeightFormat="Yes",ROUND(($C86*F86)/Rounding,0)*Rounding,ROUND((($C86*F86)-BarWeight)/2/Rounding,0)*Rounding)</f>
        <v>320</v>
      </c>
      <c r="C96" s="93">
        <f>IF(WeightFormat="Yes",ROUND(($C86*G86)/Rounding,0)*Rounding,ROUND((($C86*G86)-BarWeight)/2/Rounding,0)*Rounding)</f>
        <v>345</v>
      </c>
      <c r="D96" s="93">
        <f>IF(WeightFormat="Yes",ROUND(($C86*H86)/Rounding,0)*Rounding,ROUND((($C86*H86)-BarWeight)/2/Rounding,0)*Rounding)</f>
        <v>370</v>
      </c>
      <c r="E96" s="93">
        <f>IF(WeightFormat="Yes",ROUND(($C86*I86)/Rounding,0)*Rounding,ROUND((($C86*I86)-BarWeight)/2/Rounding,0)*Rounding)</f>
        <v>195</v>
      </c>
      <c r="F96" s="64"/>
      <c r="G96" s="64"/>
      <c r="H96" s="64"/>
      <c r="K96" s="92">
        <f>IF(WeightFormat="Yes",ROUND((C86*BBBPercentage)/Rounding,0)*Rounding,ROUND((($C86*BBBPercentage)-BarWeight)/2/Rounding,0)*Rounding)</f>
        <v>245</v>
      </c>
      <c r="L96" s="93">
        <f>K96</f>
        <v>245</v>
      </c>
    </row>
    <row r="97" spans="1:12" s="134" customFormat="1" ht="15">
      <c r="A97" s="132" t="s">
        <v>35</v>
      </c>
      <c r="B97" s="133">
        <f>IF(WeightFormat="Yes",ROUND(($C86*F87)/Rounding,0)*Rounding,ROUND((($C86*F87)-BarWeight)/2/Rounding,0)*Rounding)</f>
        <v>370</v>
      </c>
      <c r="C97" s="133">
        <f>IF(WeightFormat="Yes",ROUND(($C86*G87)/Rounding,0)*Rounding,ROUND((($C86*G87)-BarWeight)/2/Rounding,0)*Rounding)</f>
        <v>395</v>
      </c>
      <c r="D97" s="133">
        <f>IF(WeightFormat="Yes",ROUND(($C86*H87)/Rounding,0)*Rounding,ROUND((($C86*H87)-BarWeight)/2/Rounding,0)*Rounding)</f>
        <v>415</v>
      </c>
      <c r="E97" s="133">
        <f>IF(WeightFormat="Yes",ROUND(($C86*I87)/Rounding,0)*Rounding,ROUND((($C86*I87)-BarWeight)/2/Rounding,0)*Rounding)</f>
        <v>245</v>
      </c>
      <c r="F97" s="66"/>
      <c r="G97" s="66"/>
      <c r="H97" s="66"/>
      <c r="I97" s="56"/>
      <c r="K97" s="56"/>
      <c r="L97" s="56"/>
    </row>
    <row r="98" spans="1:12" s="137" customFormat="1" ht="15">
      <c r="A98" s="135" t="s">
        <v>36</v>
      </c>
      <c r="B98" s="136">
        <f>IF(WeightFormat="Yes",ROUND(($C86*F88)/Rounding,0)*Rounding,ROUND((($C86*F88)-BarWeight)/2/Rounding,0)*Rounding)</f>
        <v>415</v>
      </c>
      <c r="C98" s="136">
        <f>IF(WeightFormat="Yes",ROUND(($C86*G88)/Rounding,0)*Rounding,ROUND((($C86*G88)-BarWeight)/2/Rounding,0)*Rounding)</f>
        <v>440</v>
      </c>
      <c r="D98" s="136">
        <f>IF(WeightFormat="Yes",ROUND(($C86*H88)/Rounding,0)*Rounding,ROUND((($C86*H88)-BarWeight)/2/Rounding,0)*Rounding)</f>
        <v>465</v>
      </c>
      <c r="E98" s="136">
        <f>IF(WeightFormat="Yes",ROUND(($C86*I88)/Rounding,0)*Rounding,ROUND((($C86*I88)-BarWeight)/2/Rounding,0)*Rounding)</f>
        <v>295</v>
      </c>
      <c r="F98" s="57"/>
      <c r="G98" s="58">
        <f>IF(OR(ISERROR(F99),ISERROR(G99)),0,(G99-F99)/F99)</f>
        <v>0</v>
      </c>
      <c r="H98" s="58">
        <f>IF(OR(ISERROR(G99),ISERROR(H99)),0,(H99-G99)/G99)</f>
        <v>0</v>
      </c>
      <c r="I98" s="59"/>
      <c r="K98" s="59"/>
      <c r="L98" s="59"/>
    </row>
    <row r="99" spans="1:12" s="144" customFormat="1" ht="15.75" thickBot="1">
      <c r="A99" s="143" t="s">
        <v>37</v>
      </c>
      <c r="B99" s="95"/>
      <c r="C99" s="95"/>
      <c r="D99" s="95"/>
      <c r="E99" s="95" t="s">
        <v>15</v>
      </c>
      <c r="F99" s="69" t="e">
        <f>IF(B99=0,NA(),IF(WeightFormat="No",((B98*2)+BarWeight)/(1.0278-(0.0278*B99)),B98/(1.0278-(0.0278*B99))))</f>
        <v>#N/A</v>
      </c>
      <c r="G99" s="69" t="e">
        <f>IF(C99=0,NA(),IF(WeightFormat="No",((C98*2)+BarWeight)/(1.0278-(0.0278*C99)),C98/(1.0278-(0.0278*C99))))</f>
        <v>#N/A</v>
      </c>
      <c r="H99" s="69" t="e">
        <f>IF(D99=0,NA(),IF(WeightFormat="No",((D98*2)+BarWeight)/(1.0278-(0.0278*D99)),D98/(1.0278-(0.0278*D99))))</f>
        <v>#N/A</v>
      </c>
      <c r="I99" s="83"/>
      <c r="K99" s="99" t="str">
        <f>K72</f>
        <v>5 x 10</v>
      </c>
      <c r="L99" s="99" t="str">
        <f>L72</f>
        <v>3 x 10</v>
      </c>
    </row>
    <row r="100" spans="1:12" s="147" customFormat="1" ht="15">
      <c r="A100" s="145" t="str">
        <f>A87</f>
        <v>Deadlift</v>
      </c>
      <c r="B100" s="146">
        <f>B73+28</f>
        <v>40640</v>
      </c>
      <c r="C100" s="146">
        <f>B100+7</f>
        <v>40647</v>
      </c>
      <c r="D100" s="146">
        <f>C100+7</f>
        <v>40654</v>
      </c>
      <c r="E100" s="146">
        <f>D100+7</f>
        <v>40661</v>
      </c>
      <c r="F100" s="71"/>
      <c r="G100" s="71"/>
      <c r="H100" s="71"/>
      <c r="I100" s="84"/>
      <c r="K100" s="84"/>
      <c r="L100" s="84"/>
    </row>
    <row r="101" spans="1:12" ht="15">
      <c r="A101" s="131" t="s">
        <v>34</v>
      </c>
      <c r="B101" s="93">
        <f>IF(WeightFormat="Yes",ROUND(($C87*F86)/Rounding,0)*Rounding,ROUND((($C87*F86)-BarWeight)/2/Rounding,0)*Rounding)</f>
        <v>515</v>
      </c>
      <c r="C101" s="93">
        <f>IF(WeightFormat="Yes",ROUND(($C87*G86)/Rounding,0)*Rounding,ROUND((($C87*G86)-BarWeight)/2/Rounding,0)*Rounding)</f>
        <v>555</v>
      </c>
      <c r="D101" s="93">
        <f>IF(WeightFormat="Yes",ROUND(($C87*H86)/Rounding,0)*Rounding,ROUND((($C87*H86)-BarWeight)/2/Rounding,0)*Rounding)</f>
        <v>595</v>
      </c>
      <c r="E101" s="93">
        <f>IF(WeightFormat="Yes",ROUND(($C87*I86)/Rounding,0)*Rounding,ROUND((($C87*I86)-BarWeight)/2/Rounding,0)*Rounding)</f>
        <v>315</v>
      </c>
      <c r="F101" s="64"/>
      <c r="G101" s="64"/>
      <c r="H101" s="64"/>
      <c r="K101" s="92">
        <f>IF(WeightFormat="Yes",ROUND((C87*BBBPercentage)/Rounding,0)*Rounding,ROUND((($C87*BBBPercentage)-BarWeight)/2/Rounding,0)*Rounding)</f>
        <v>395</v>
      </c>
      <c r="L101" s="93">
        <f>K101</f>
        <v>395</v>
      </c>
    </row>
    <row r="102" spans="1:12" s="134" customFormat="1" ht="15">
      <c r="A102" s="132" t="s">
        <v>35</v>
      </c>
      <c r="B102" s="133">
        <f>IF(WeightFormat="Yes",ROUND(($C87*F87)/Rounding,0)*Rounding,ROUND((($C87*F87)-BarWeight)/2/Rounding,0)*Rounding)</f>
        <v>595</v>
      </c>
      <c r="C102" s="133">
        <f>IF(WeightFormat="Yes",ROUND(($C87*G87)/Rounding,0)*Rounding,ROUND((($C87*G87)-BarWeight)/2/Rounding,0)*Rounding)</f>
        <v>635</v>
      </c>
      <c r="D102" s="133">
        <f>IF(WeightFormat="Yes",ROUND(($C87*H87)/Rounding,0)*Rounding,ROUND((($C87*H87)-BarWeight)/2/Rounding,0)*Rounding)</f>
        <v>675</v>
      </c>
      <c r="E102" s="133">
        <f>IF(WeightFormat="Yes",ROUND(($C87*I87)/Rounding,0)*Rounding,ROUND((($C87*I87)-BarWeight)/2/Rounding,0)*Rounding)</f>
        <v>395</v>
      </c>
      <c r="F102" s="66"/>
      <c r="G102" s="66"/>
      <c r="H102" s="66"/>
      <c r="I102" s="56"/>
      <c r="K102" s="56"/>
      <c r="L102" s="56"/>
    </row>
    <row r="103" spans="1:12" s="137" customFormat="1" ht="15">
      <c r="A103" s="135" t="s">
        <v>36</v>
      </c>
      <c r="B103" s="136">
        <f>IF(WeightFormat="Yes",ROUND(($C87*F88)/Rounding,0)*Rounding,ROUND((($C87*F88)-BarWeight)/2/Rounding,0)*Rounding)</f>
        <v>675</v>
      </c>
      <c r="C103" s="136">
        <f>IF(WeightFormat="Yes",ROUND(($C87*G88)/Rounding,0)*Rounding,ROUND((($C87*G88)-BarWeight)/2/Rounding,0)*Rounding)</f>
        <v>715</v>
      </c>
      <c r="D103" s="136">
        <f>IF(WeightFormat="Yes",ROUND(($C87*H88)/Rounding,0)*Rounding,ROUND((($C87*H88)-BarWeight)/2/Rounding,0)*Rounding)</f>
        <v>755</v>
      </c>
      <c r="E103" s="136">
        <f>IF(WeightFormat="Yes",ROUND(($C87*I88)/Rounding,0)*Rounding,ROUND((($C87*I88)-BarWeight)/2/Rounding,0)*Rounding)</f>
        <v>475</v>
      </c>
      <c r="F103" s="57"/>
      <c r="G103" s="58">
        <f>IF(OR(ISERROR(F104),ISERROR(G104)),0,(G104-F104)/F104)</f>
        <v>0</v>
      </c>
      <c r="H103" s="58">
        <f>IF(OR(ISERROR(G104),ISERROR(H104)),0,(H104-G104)/G104)</f>
        <v>0</v>
      </c>
      <c r="I103" s="59"/>
      <c r="K103" s="59"/>
      <c r="L103" s="59"/>
    </row>
    <row r="104" spans="1:12" s="149" customFormat="1" ht="15.75" thickBot="1">
      <c r="A104" s="148" t="s">
        <v>37</v>
      </c>
      <c r="B104" s="96"/>
      <c r="C104" s="96"/>
      <c r="D104" s="96"/>
      <c r="E104" s="96" t="s">
        <v>15</v>
      </c>
      <c r="F104" s="73" t="e">
        <f>IF(B104=0,NA(),IF(WeightFormat="No",((B103*2)+BarWeight)/(1.0278-(0.0278*B104)),B103/(1.0278-(0.0278*B104))))</f>
        <v>#N/A</v>
      </c>
      <c r="G104" s="73" t="e">
        <f>IF(C104=0,NA(),IF(WeightFormat="No",((C103*2)+BarWeight)/(1.0278-(0.0278*C104)),C103/(1.0278-(0.0278*C104))))</f>
        <v>#N/A</v>
      </c>
      <c r="H104" s="73" t="e">
        <f>IF(D104=0,NA(),IF(WeightFormat="No",((D103*2)+BarWeight)/(1.0278-(0.0278*D104)),D103/(1.0278-(0.0278*D104))))</f>
        <v>#N/A</v>
      </c>
      <c r="I104" s="85"/>
      <c r="K104" s="100" t="str">
        <f>K77</f>
        <v>5 x 8</v>
      </c>
      <c r="L104" s="100" t="str">
        <f>L77</f>
        <v>3 x 8</v>
      </c>
    </row>
    <row r="105" spans="1:12" s="152" customFormat="1" ht="15">
      <c r="A105" s="150" t="str">
        <f>A88</f>
        <v>Shoulder Press</v>
      </c>
      <c r="B105" s="151">
        <f>B78+28</f>
        <v>40641</v>
      </c>
      <c r="C105" s="151">
        <f>B105+7</f>
        <v>40648</v>
      </c>
      <c r="D105" s="151">
        <f>C105+7</f>
        <v>40655</v>
      </c>
      <c r="E105" s="151">
        <f>D105+7</f>
        <v>40662</v>
      </c>
      <c r="F105" s="75"/>
      <c r="G105" s="75"/>
      <c r="H105" s="75"/>
      <c r="I105" s="86"/>
      <c r="K105" s="86"/>
      <c r="L105" s="86"/>
    </row>
    <row r="106" spans="1:12" ht="15">
      <c r="A106" s="131" t="s">
        <v>34</v>
      </c>
      <c r="B106" s="93">
        <f>IF(WeightFormat="Yes",ROUND(($C88*F86)/Rounding,0)*Rounding,ROUND((($C88*F86)-BarWeight)/2/Rounding,0)*Rounding)</f>
        <v>260</v>
      </c>
      <c r="C106" s="93">
        <f>IF(WeightFormat="Yes",ROUND(($C88*G86)/Rounding,0)*Rounding,ROUND((($C88*G86)-BarWeight)/2/Rounding,0)*Rounding)</f>
        <v>280</v>
      </c>
      <c r="D106" s="93">
        <f>IF(WeightFormat="Yes",ROUND(($C88*H86)/Rounding,0)*Rounding,ROUND((($C88*H86)-BarWeight)/2/Rounding,0)*Rounding)</f>
        <v>295</v>
      </c>
      <c r="E106" s="93">
        <f>IF(WeightFormat="Yes",ROUND(($C88*I86)/Rounding,0)*Rounding,ROUND((($C88*I86)-BarWeight)/2/Rounding,0)*Rounding)</f>
        <v>160</v>
      </c>
      <c r="F106" s="64"/>
      <c r="G106" s="64"/>
      <c r="H106" s="64"/>
      <c r="K106" s="92">
        <f>IF(WeightFormat="Yes",ROUND((C88*BBBPercentage)/Rounding,0)*Rounding,ROUND((($C88*BBBPercentage)-BarWeight)/2/Rounding,0)*Rounding)</f>
        <v>200</v>
      </c>
      <c r="L106" s="93">
        <f>K106</f>
        <v>200</v>
      </c>
    </row>
    <row r="107" spans="1:12" s="134" customFormat="1" ht="15">
      <c r="A107" s="132" t="s">
        <v>35</v>
      </c>
      <c r="B107" s="133">
        <f>IF(WeightFormat="Yes",ROUND(($C88*F87)/Rounding,0)*Rounding,ROUND((($C88*F87)-BarWeight)/2/Rounding,0)*Rounding)</f>
        <v>295</v>
      </c>
      <c r="C107" s="133">
        <f>IF(WeightFormat="Yes",ROUND(($C88*G87)/Rounding,0)*Rounding,ROUND((($C88*G87)-BarWeight)/2/Rounding,0)*Rounding)</f>
        <v>315</v>
      </c>
      <c r="D107" s="133">
        <f>IF(WeightFormat="Yes",ROUND(($C88*H87)/Rounding,0)*Rounding,ROUND((($C88*H87)-BarWeight)/2/Rounding,0)*Rounding)</f>
        <v>335</v>
      </c>
      <c r="E107" s="133">
        <f>IF(WeightFormat="Yes",ROUND(($C88*I87)/Rounding,0)*Rounding,ROUND((($C88*I87)-BarWeight)/2/Rounding,0)*Rounding)</f>
        <v>200</v>
      </c>
      <c r="F107" s="66"/>
      <c r="G107" s="66"/>
      <c r="H107" s="66"/>
      <c r="I107" s="56"/>
      <c r="K107" s="56"/>
      <c r="L107" s="56"/>
    </row>
    <row r="108" spans="1:12" s="137" customFormat="1" ht="15">
      <c r="A108" s="135" t="s">
        <v>36</v>
      </c>
      <c r="B108" s="93">
        <f>IF(WeightFormat="Yes",ROUND(($C88*F88)/Rounding,0)*Rounding,ROUND((($C88*F88)-BarWeight)/2/Rounding,0)*Rounding)</f>
        <v>335</v>
      </c>
      <c r="C108" s="93">
        <f>IF(WeightFormat="Yes",ROUND(($C88*G88)/Rounding,0)*Rounding,ROUND((($C88*G88)-BarWeight)/2/Rounding,0)*Rounding)</f>
        <v>355</v>
      </c>
      <c r="D108" s="93">
        <f>IF(WeightFormat="Yes",ROUND(($C88*H88)/Rounding,0)*Rounding,ROUND((($C88*H88)-BarWeight)/2/Rounding,0)*Rounding)</f>
        <v>375</v>
      </c>
      <c r="E108" s="93">
        <f>IF(WeightFormat="Yes",ROUND(($C88*I88)/Rounding,0)*Rounding,ROUND((($C88*I88)-BarWeight)/2/Rounding,0)*Rounding)</f>
        <v>240</v>
      </c>
      <c r="F108" s="57"/>
      <c r="G108" s="58">
        <f>IF(OR(ISERROR(F109),ISERROR(G109)),0,(G109-F109)/F109)</f>
        <v>0</v>
      </c>
      <c r="H108" s="58">
        <f>IF(OR(ISERROR(G109),ISERROR(H109)),0,(H109-G109)/G109)</f>
        <v>0</v>
      </c>
      <c r="I108" s="59"/>
      <c r="K108" s="59"/>
      <c r="L108" s="59"/>
    </row>
    <row r="109" spans="1:12" s="154" customFormat="1" ht="15.75" thickBot="1">
      <c r="A109" s="153" t="s">
        <v>37</v>
      </c>
      <c r="B109" s="97"/>
      <c r="C109" s="97"/>
      <c r="D109" s="97"/>
      <c r="E109" s="97" t="s">
        <v>15</v>
      </c>
      <c r="F109" s="77" t="e">
        <f>IF(B109=0,NA(),IF(WeightFormat="No",((B108*2)+BarWeight)/(1.0278-(0.0278*B109)),B108/(1.0278-(0.0278*B109))))</f>
        <v>#N/A</v>
      </c>
      <c r="G109" s="77" t="e">
        <f>IF(C109=0,NA(),IF(WeightFormat="No",((C108*2)+BarWeight)/(1.0278-(0.0278*C109)),C108/(1.0278-(0.0278*C109))))</f>
        <v>#N/A</v>
      </c>
      <c r="H109" s="77" t="e">
        <f>IF(D109=0,NA(),IF(WeightFormat="No",((D108*2)+BarWeight)/(1.0278-(0.0278*D109)),D108/(1.0278-(0.0278*D109))))</f>
        <v>#N/A</v>
      </c>
      <c r="I109" s="87"/>
      <c r="K109" s="101" t="str">
        <f>K82</f>
        <v>5 x 10</v>
      </c>
      <c r="L109" s="101" t="str">
        <f>L82</f>
        <v>3 x 10</v>
      </c>
    </row>
    <row r="110" spans="1:12" s="116" customFormat="1" ht="19.5" thickBot="1">
      <c r="A110" s="115" t="s">
        <v>42</v>
      </c>
      <c r="B110" s="206" t="str">
        <f>TEXT(B117,"dd mmm")&amp;" to "&amp;TEXT(E132,"dd mmm yyyy")</f>
        <v>02 May to 27 May 2011</v>
      </c>
      <c r="C110" s="207"/>
      <c r="D110" s="207"/>
      <c r="E110" s="207"/>
      <c r="F110" s="207"/>
      <c r="G110" s="207"/>
      <c r="H110" s="207"/>
      <c r="I110" s="208"/>
      <c r="K110" s="88"/>
      <c r="L110" s="88"/>
    </row>
    <row r="111" spans="1:12" s="119" customFormat="1" ht="15">
      <c r="A111" s="117" t="s">
        <v>5</v>
      </c>
      <c r="B111" s="118" t="s">
        <v>0</v>
      </c>
      <c r="C111" s="79">
        <v>0.9</v>
      </c>
      <c r="D111" s="209"/>
      <c r="E111" s="210"/>
      <c r="F111" s="215" t="s">
        <v>14</v>
      </c>
      <c r="G111" s="215"/>
      <c r="H111" s="215"/>
      <c r="I111" s="215"/>
      <c r="K111" s="89"/>
      <c r="L111" s="89"/>
    </row>
    <row r="112" spans="1:12" s="122" customFormat="1" ht="15">
      <c r="A112" s="90" t="str">
        <f>ExOne</f>
        <v>Squat</v>
      </c>
      <c r="B112" s="120">
        <f>B85+(IncrOne/C111)</f>
        <v>1103.4444444444443</v>
      </c>
      <c r="C112" s="121">
        <f>B112*$C$3</f>
        <v>993.0999999999999</v>
      </c>
      <c r="D112" s="211"/>
      <c r="E112" s="212"/>
      <c r="F112" s="42" t="s">
        <v>6</v>
      </c>
      <c r="G112" s="43" t="s">
        <v>7</v>
      </c>
      <c r="H112" s="43" t="s">
        <v>12</v>
      </c>
      <c r="I112" s="44" t="s">
        <v>13</v>
      </c>
      <c r="K112" s="90"/>
      <c r="L112" s="90"/>
    </row>
    <row r="113" spans="1:12" s="122" customFormat="1" ht="15">
      <c r="A113" s="90" t="str">
        <f>ExTwo</f>
        <v>Bench Press</v>
      </c>
      <c r="B113" s="120">
        <f>B86+(IncrTwo/C111)</f>
        <v>551.2222222222222</v>
      </c>
      <c r="C113" s="121">
        <f>B113*$C$3</f>
        <v>496.09999999999997</v>
      </c>
      <c r="D113" s="211"/>
      <c r="E113" s="212"/>
      <c r="F113" s="45">
        <v>0.65</v>
      </c>
      <c r="G113" s="45">
        <v>0.7</v>
      </c>
      <c r="H113" s="45">
        <v>0.75</v>
      </c>
      <c r="I113" s="46">
        <v>0.4</v>
      </c>
      <c r="K113" s="90"/>
      <c r="L113" s="90"/>
    </row>
    <row r="114" spans="1:12" s="122" customFormat="1" ht="15">
      <c r="A114" s="90" t="str">
        <f>ExThree</f>
        <v>Deadlift</v>
      </c>
      <c r="B114" s="120">
        <f>B87+(IncrThree/C111)</f>
        <v>891.4444444444443</v>
      </c>
      <c r="C114" s="121">
        <f>B114*$C$3</f>
        <v>802.3</v>
      </c>
      <c r="D114" s="211"/>
      <c r="E114" s="212"/>
      <c r="F114" s="45">
        <v>0.75</v>
      </c>
      <c r="G114" s="45">
        <v>0.8</v>
      </c>
      <c r="H114" s="45">
        <v>0.85</v>
      </c>
      <c r="I114" s="46">
        <v>0.5</v>
      </c>
      <c r="K114" s="90"/>
      <c r="L114" s="90"/>
    </row>
    <row r="115" spans="1:12" s="119" customFormat="1" ht="15">
      <c r="A115" s="89" t="str">
        <f>ExFour</f>
        <v>Shoulder Press</v>
      </c>
      <c r="B115" s="155">
        <f>B88+(IncrFour/C111)</f>
        <v>446.2222222222222</v>
      </c>
      <c r="C115" s="123">
        <f>B115*$C$3</f>
        <v>401.59999999999997</v>
      </c>
      <c r="D115" s="213"/>
      <c r="E115" s="214"/>
      <c r="F115" s="45">
        <v>0.85</v>
      </c>
      <c r="G115" s="45">
        <v>0.9</v>
      </c>
      <c r="H115" s="45">
        <v>0.95</v>
      </c>
      <c r="I115" s="46">
        <v>0.6</v>
      </c>
      <c r="K115" s="89"/>
      <c r="L115" s="89"/>
    </row>
    <row r="116" spans="1:12" s="126" customFormat="1" ht="15.75" thickBot="1">
      <c r="A116" s="124" t="s">
        <v>5</v>
      </c>
      <c r="B116" s="125"/>
      <c r="C116" s="125"/>
      <c r="D116" s="125"/>
      <c r="E116" s="125"/>
      <c r="F116" s="47"/>
      <c r="G116" s="47"/>
      <c r="H116" s="47"/>
      <c r="I116" s="48"/>
      <c r="K116" s="48"/>
      <c r="L116" s="48"/>
    </row>
    <row r="117" spans="1:12" s="130" customFormat="1" ht="15">
      <c r="A117" s="127" t="str">
        <f>A112</f>
        <v>Squat</v>
      </c>
      <c r="B117" s="128">
        <f>B90+28</f>
        <v>40665</v>
      </c>
      <c r="C117" s="129">
        <f>B117+7</f>
        <v>40672</v>
      </c>
      <c r="D117" s="129">
        <f>C117+7</f>
        <v>40679</v>
      </c>
      <c r="E117" s="129">
        <f>D117+7</f>
        <v>40686</v>
      </c>
      <c r="F117" s="49"/>
      <c r="G117" s="49"/>
      <c r="H117" s="49"/>
      <c r="I117" s="80"/>
      <c r="K117" s="91" t="s">
        <v>55</v>
      </c>
      <c r="L117" s="91" t="s">
        <v>13</v>
      </c>
    </row>
    <row r="118" spans="1:12" ht="15">
      <c r="A118" s="131" t="s">
        <v>34</v>
      </c>
      <c r="B118" s="93">
        <f>IF(WeightFormat="Yes",ROUND(($C112*F113)/Rounding,0)*Rounding,ROUND((($C112*F113)-BarWeight)/2/Rounding,0)*Rounding)</f>
        <v>645</v>
      </c>
      <c r="C118" s="93">
        <f>IF(WeightFormat="Yes",ROUND(($C112*G113)/Rounding,0)*Rounding,ROUND((($C112*G113)-BarWeight)/2/Rounding,0)*Rounding)</f>
        <v>695</v>
      </c>
      <c r="D118" s="93">
        <f>IF(WeightFormat="Yes",ROUND(($C112*H113)/Rounding,0)*Rounding,ROUND((($C112*H113)-BarWeight)/2/Rounding,0)*Rounding)</f>
        <v>745</v>
      </c>
      <c r="E118" s="93">
        <f>IF(WeightFormat="Yes",ROUND(($C112*I113)/Rounding,0)*Rounding,ROUND((($C112*I113)-BarWeight)/2/Rounding,0)*Rounding)</f>
        <v>395</v>
      </c>
      <c r="F118" s="51"/>
      <c r="K118" s="92">
        <f>IF(WeightFormat="Yes",ROUND((C112*BBBPercentage)/Rounding,0)*Rounding,ROUND((($C112*BBBPercentage)-BarWeight)/2/Rounding,0)*Rounding)</f>
        <v>495</v>
      </c>
      <c r="L118" s="93">
        <f>K118</f>
        <v>495</v>
      </c>
    </row>
    <row r="119" spans="1:12" s="134" customFormat="1" ht="15">
      <c r="A119" s="132" t="s">
        <v>35</v>
      </c>
      <c r="B119" s="133">
        <f>IF(WeightFormat="Yes",ROUND(($C112*F114)/Rounding,0)*Rounding,ROUND((($C112*F114)-BarWeight)/2/Rounding,0)*Rounding)</f>
        <v>745</v>
      </c>
      <c r="C119" s="133">
        <f>IF(WeightFormat="Yes",ROUND(($C112*G114)/Rounding,0)*Rounding,ROUND((($C112*G114)-BarWeight)/2/Rounding,0)*Rounding)</f>
        <v>795</v>
      </c>
      <c r="D119" s="133">
        <f>IF(WeightFormat="Yes",ROUND(($C112*H114)/Rounding,0)*Rounding,ROUND((($C112*H114)-BarWeight)/2/Rounding,0)*Rounding)</f>
        <v>845</v>
      </c>
      <c r="E119" s="133">
        <f>IF(WeightFormat="Yes",ROUND(($C112*I114)/Rounding,0)*Rounding,ROUND((($C112*I114)-BarWeight)/2/Rounding,0)*Rounding)</f>
        <v>495</v>
      </c>
      <c r="F119" s="54"/>
      <c r="G119" s="55"/>
      <c r="H119" s="55"/>
      <c r="I119" s="56"/>
      <c r="K119" s="56"/>
      <c r="L119" s="56"/>
    </row>
    <row r="120" spans="1:12" s="137" customFormat="1" ht="15">
      <c r="A120" s="135" t="s">
        <v>36</v>
      </c>
      <c r="B120" s="136">
        <f>IF(WeightFormat="Yes",ROUND(($C112*F115)/Rounding,0)*Rounding,ROUND((($C112*F115)-BarWeight)/2/Rounding,0)*Rounding)</f>
        <v>845</v>
      </c>
      <c r="C120" s="136">
        <f>IF(WeightFormat="Yes",ROUND(($C112*G115)/Rounding,0)*Rounding,ROUND((($C112*G115)-BarWeight)/2/Rounding,0)*Rounding)</f>
        <v>895</v>
      </c>
      <c r="D120" s="136">
        <f>IF(WeightFormat="Yes",ROUND(($C112*H115)/Rounding,0)*Rounding,ROUND((($C112*H115)-BarWeight)/2/Rounding,0)*Rounding)</f>
        <v>945</v>
      </c>
      <c r="E120" s="136">
        <f>IF(WeightFormat="Yes",ROUND(($C112*I115)/Rounding,0)*Rounding,ROUND((($C112*I115)-BarWeight)/2/Rounding,0)*Rounding)</f>
        <v>595</v>
      </c>
      <c r="F120" s="57"/>
      <c r="G120" s="58">
        <f>IF(OR(ISERROR(F121),ISERROR(G121)),0,(G121-F121)/F121)</f>
        <v>0</v>
      </c>
      <c r="H120" s="58">
        <f>IF(OR(ISERROR(G121),ISERROR(H121)),0,(H121-G121)/G121)</f>
        <v>0</v>
      </c>
      <c r="I120" s="59"/>
      <c r="K120" s="59"/>
      <c r="L120" s="59"/>
    </row>
    <row r="121" spans="1:12" s="139" customFormat="1" ht="15.75" thickBot="1">
      <c r="A121" s="138" t="s">
        <v>37</v>
      </c>
      <c r="B121" s="94"/>
      <c r="C121" s="94"/>
      <c r="D121" s="94"/>
      <c r="E121" s="94" t="s">
        <v>15</v>
      </c>
      <c r="F121" s="60" t="e">
        <f>IF(B121=0,NA(),IF(WeightFormat="No",((B120*2)+BarWeight)/(1.0278-(0.0278*B121)),B120/(1.0278-(0.0278*B121))))</f>
        <v>#N/A</v>
      </c>
      <c r="G121" s="60" t="e">
        <f>IF(C121=0,NA(),IF(WeightFormat="No",((C120*2)+BarWeight)/(1.0278-(0.0278*C121)),C120/(1.0278-(0.0278*C121))))</f>
        <v>#N/A</v>
      </c>
      <c r="H121" s="60" t="e">
        <f>IF(D121=0,NA(),IF(WeightFormat="No",((D120*2)+BarWeight)/(1.0278-(0.0278*D121)),D120/(1.0278-(0.0278*D121))))</f>
        <v>#N/A</v>
      </c>
      <c r="I121" s="81"/>
      <c r="K121" s="98" t="str">
        <f>K94</f>
        <v>5 x 10</v>
      </c>
      <c r="L121" s="98" t="str">
        <f>L94</f>
        <v>3 x 10</v>
      </c>
    </row>
    <row r="122" spans="1:12" s="142" customFormat="1" ht="15">
      <c r="A122" s="140" t="str">
        <f>A113</f>
        <v>Bench Press</v>
      </c>
      <c r="B122" s="141">
        <f>B95+28</f>
        <v>40667</v>
      </c>
      <c r="C122" s="141">
        <f>B122+7</f>
        <v>40674</v>
      </c>
      <c r="D122" s="141">
        <f>C122+7</f>
        <v>40681</v>
      </c>
      <c r="E122" s="141">
        <f>D122+7</f>
        <v>40688</v>
      </c>
      <c r="F122" s="62"/>
      <c r="G122" s="62"/>
      <c r="H122" s="62"/>
      <c r="I122" s="82"/>
      <c r="K122" s="82"/>
      <c r="L122" s="82"/>
    </row>
    <row r="123" spans="1:12" ht="15">
      <c r="A123" s="131" t="s">
        <v>34</v>
      </c>
      <c r="B123" s="93">
        <f>IF(WeightFormat="Yes",ROUND(($C113*F113)/Rounding,0)*Rounding,ROUND((($C113*F113)-BarWeight)/2/Rounding,0)*Rounding)</f>
        <v>320</v>
      </c>
      <c r="C123" s="93">
        <f>IF(WeightFormat="Yes",ROUND(($C113*G113)/Rounding,0)*Rounding,ROUND((($C113*G113)-BarWeight)/2/Rounding,0)*Rounding)</f>
        <v>345</v>
      </c>
      <c r="D123" s="93">
        <f>IF(WeightFormat="Yes",ROUND(($C113*H113)/Rounding,0)*Rounding,ROUND((($C113*H113)-BarWeight)/2/Rounding,0)*Rounding)</f>
        <v>370</v>
      </c>
      <c r="E123" s="93">
        <f>IF(WeightFormat="Yes",ROUND(($C113*I113)/Rounding,0)*Rounding,ROUND((($C113*I113)-BarWeight)/2/Rounding,0)*Rounding)</f>
        <v>200</v>
      </c>
      <c r="F123" s="64"/>
      <c r="G123" s="64"/>
      <c r="H123" s="64"/>
      <c r="K123" s="92">
        <f>IF(WeightFormat="Yes",ROUND((C113*BBBPercentage)/Rounding,0)*Rounding,ROUND((($C113*BBBPercentage)-BarWeight)/2/Rounding,0)*Rounding)</f>
        <v>250</v>
      </c>
      <c r="L123" s="93">
        <f>K123</f>
        <v>250</v>
      </c>
    </row>
    <row r="124" spans="1:12" s="134" customFormat="1" ht="15">
      <c r="A124" s="132" t="s">
        <v>35</v>
      </c>
      <c r="B124" s="133">
        <f>IF(WeightFormat="Yes",ROUND(($C113*F114)/Rounding,0)*Rounding,ROUND((($C113*F114)-BarWeight)/2/Rounding,0)*Rounding)</f>
        <v>370</v>
      </c>
      <c r="C124" s="133">
        <f>IF(WeightFormat="Yes",ROUND(($C113*G114)/Rounding,0)*Rounding,ROUND((($C113*G114)-BarWeight)/2/Rounding,0)*Rounding)</f>
        <v>395</v>
      </c>
      <c r="D124" s="133">
        <f>IF(WeightFormat="Yes",ROUND(($C113*H114)/Rounding,0)*Rounding,ROUND((($C113*H114)-BarWeight)/2/Rounding,0)*Rounding)</f>
        <v>420</v>
      </c>
      <c r="E124" s="133">
        <f>IF(WeightFormat="Yes",ROUND(($C113*I114)/Rounding,0)*Rounding,ROUND((($C113*I114)-BarWeight)/2/Rounding,0)*Rounding)</f>
        <v>250</v>
      </c>
      <c r="F124" s="66"/>
      <c r="G124" s="66"/>
      <c r="H124" s="66"/>
      <c r="I124" s="56"/>
      <c r="K124" s="56"/>
      <c r="L124" s="56"/>
    </row>
    <row r="125" spans="1:12" s="137" customFormat="1" ht="15">
      <c r="A125" s="135" t="s">
        <v>36</v>
      </c>
      <c r="B125" s="136">
        <f>IF(WeightFormat="Yes",ROUND(($C113*F115)/Rounding,0)*Rounding,ROUND((($C113*F115)-BarWeight)/2/Rounding,0)*Rounding)</f>
        <v>420</v>
      </c>
      <c r="C125" s="136">
        <f>IF(WeightFormat="Yes",ROUND(($C113*G115)/Rounding,0)*Rounding,ROUND((($C113*G115)-BarWeight)/2/Rounding,0)*Rounding)</f>
        <v>445</v>
      </c>
      <c r="D125" s="136">
        <f>IF(WeightFormat="Yes",ROUND(($C113*H115)/Rounding,0)*Rounding,ROUND((($C113*H115)-BarWeight)/2/Rounding,0)*Rounding)</f>
        <v>470</v>
      </c>
      <c r="E125" s="136">
        <f>IF(WeightFormat="Yes",ROUND(($C113*I115)/Rounding,0)*Rounding,ROUND((($C113*I115)-BarWeight)/2/Rounding,0)*Rounding)</f>
        <v>300</v>
      </c>
      <c r="F125" s="57"/>
      <c r="G125" s="58">
        <f>IF(OR(ISERROR(F126),ISERROR(G126)),0,(G126-F126)/F126)</f>
        <v>0</v>
      </c>
      <c r="H125" s="58">
        <f>IF(OR(ISERROR(G126),ISERROR(H126)),0,(H126-G126)/G126)</f>
        <v>0</v>
      </c>
      <c r="I125" s="59"/>
      <c r="K125" s="59"/>
      <c r="L125" s="59"/>
    </row>
    <row r="126" spans="1:12" s="144" customFormat="1" ht="15.75" thickBot="1">
      <c r="A126" s="143" t="s">
        <v>37</v>
      </c>
      <c r="B126" s="95"/>
      <c r="C126" s="95"/>
      <c r="D126" s="95"/>
      <c r="E126" s="95" t="s">
        <v>15</v>
      </c>
      <c r="F126" s="69" t="e">
        <f>IF(B126=0,NA(),IF(WeightFormat="No",((B125*2)+BarWeight)/(1.0278-(0.0278*B126)),B125/(1.0278-(0.0278*B126))))</f>
        <v>#N/A</v>
      </c>
      <c r="G126" s="69" t="e">
        <f>IF(C126=0,NA(),IF(WeightFormat="No",((C125*2)+BarWeight)/(1.0278-(0.0278*C126)),C125/(1.0278-(0.0278*C126))))</f>
        <v>#N/A</v>
      </c>
      <c r="H126" s="69" t="e">
        <f>IF(D126=0,NA(),IF(WeightFormat="No",((D125*2)+BarWeight)/(1.0278-(0.0278*D126)),D125/(1.0278-(0.0278*D126))))</f>
        <v>#N/A</v>
      </c>
      <c r="I126" s="83"/>
      <c r="K126" s="99" t="str">
        <f>K99</f>
        <v>5 x 10</v>
      </c>
      <c r="L126" s="99" t="str">
        <f>L99</f>
        <v>3 x 10</v>
      </c>
    </row>
    <row r="127" spans="1:12" s="147" customFormat="1" ht="15">
      <c r="A127" s="145" t="str">
        <f>A114</f>
        <v>Deadlift</v>
      </c>
      <c r="B127" s="146">
        <f>B100+28</f>
        <v>40668</v>
      </c>
      <c r="C127" s="146">
        <f>B127+7</f>
        <v>40675</v>
      </c>
      <c r="D127" s="146">
        <f>C127+7</f>
        <v>40682</v>
      </c>
      <c r="E127" s="146">
        <f>D127+7</f>
        <v>40689</v>
      </c>
      <c r="F127" s="71"/>
      <c r="G127" s="71"/>
      <c r="H127" s="71"/>
      <c r="I127" s="84"/>
      <c r="K127" s="84"/>
      <c r="L127" s="84"/>
    </row>
    <row r="128" spans="1:12" ht="15">
      <c r="A128" s="131" t="s">
        <v>34</v>
      </c>
      <c r="B128" s="93">
        <f>IF(WeightFormat="Yes",ROUND(($C114*F113)/Rounding,0)*Rounding,ROUND((($C114*F113)-BarWeight)/2/Rounding,0)*Rounding)</f>
        <v>520</v>
      </c>
      <c r="C128" s="93">
        <f>IF(WeightFormat="Yes",ROUND(($C114*G113)/Rounding,0)*Rounding,ROUND((($C114*G113)-BarWeight)/2/Rounding,0)*Rounding)</f>
        <v>560</v>
      </c>
      <c r="D128" s="93">
        <f>IF(WeightFormat="Yes",ROUND(($C114*H113)/Rounding,0)*Rounding,ROUND((($C114*H113)-BarWeight)/2/Rounding,0)*Rounding)</f>
        <v>600</v>
      </c>
      <c r="E128" s="93">
        <f>IF(WeightFormat="Yes",ROUND(($C114*I113)/Rounding,0)*Rounding,ROUND((($C114*I113)-BarWeight)/2/Rounding,0)*Rounding)</f>
        <v>320</v>
      </c>
      <c r="F128" s="64"/>
      <c r="G128" s="64"/>
      <c r="H128" s="64"/>
      <c r="K128" s="92">
        <f>IF(WeightFormat="Yes",ROUND((C114*BBBPercentage)/Rounding,0)*Rounding,ROUND((($C114*BBBPercentage)-BarWeight)/2/Rounding,0)*Rounding)</f>
        <v>400</v>
      </c>
      <c r="L128" s="93">
        <f>K128</f>
        <v>400</v>
      </c>
    </row>
    <row r="129" spans="1:12" s="134" customFormat="1" ht="15">
      <c r="A129" s="132" t="s">
        <v>35</v>
      </c>
      <c r="B129" s="133">
        <f>IF(WeightFormat="Yes",ROUND(($C114*F114)/Rounding,0)*Rounding,ROUND((($C114*F114)-BarWeight)/2/Rounding,0)*Rounding)</f>
        <v>600</v>
      </c>
      <c r="C129" s="133">
        <f>IF(WeightFormat="Yes",ROUND(($C114*G114)/Rounding,0)*Rounding,ROUND((($C114*G114)-BarWeight)/2/Rounding,0)*Rounding)</f>
        <v>640</v>
      </c>
      <c r="D129" s="133">
        <f>IF(WeightFormat="Yes",ROUND(($C114*H114)/Rounding,0)*Rounding,ROUND((($C114*H114)-BarWeight)/2/Rounding,0)*Rounding)</f>
        <v>680</v>
      </c>
      <c r="E129" s="133">
        <f>IF(WeightFormat="Yes",ROUND(($C114*I114)/Rounding,0)*Rounding,ROUND((($C114*I114)-BarWeight)/2/Rounding,0)*Rounding)</f>
        <v>400</v>
      </c>
      <c r="F129" s="66"/>
      <c r="G129" s="66"/>
      <c r="H129" s="66"/>
      <c r="I129" s="56"/>
      <c r="K129" s="56"/>
      <c r="L129" s="56"/>
    </row>
    <row r="130" spans="1:12" s="137" customFormat="1" ht="15">
      <c r="A130" s="135" t="s">
        <v>36</v>
      </c>
      <c r="B130" s="136">
        <f>IF(WeightFormat="Yes",ROUND(($C114*F115)/Rounding,0)*Rounding,ROUND((($C114*F115)-BarWeight)/2/Rounding,0)*Rounding)</f>
        <v>680</v>
      </c>
      <c r="C130" s="136">
        <f>IF(WeightFormat="Yes",ROUND(($C114*G115)/Rounding,0)*Rounding,ROUND((($C114*G115)-BarWeight)/2/Rounding,0)*Rounding)</f>
        <v>720</v>
      </c>
      <c r="D130" s="136">
        <f>IF(WeightFormat="Yes",ROUND(($C114*H115)/Rounding,0)*Rounding,ROUND((($C114*H115)-BarWeight)/2/Rounding,0)*Rounding)</f>
        <v>760</v>
      </c>
      <c r="E130" s="136">
        <f>IF(WeightFormat="Yes",ROUND(($C114*I115)/Rounding,0)*Rounding,ROUND((($C114*I115)-BarWeight)/2/Rounding,0)*Rounding)</f>
        <v>480</v>
      </c>
      <c r="F130" s="57"/>
      <c r="G130" s="58">
        <f>IF(OR(ISERROR(F131),ISERROR(G131)),0,(G131-F131)/F131)</f>
        <v>0</v>
      </c>
      <c r="H130" s="58">
        <f>IF(OR(ISERROR(G131),ISERROR(H131)),0,(H131-G131)/G131)</f>
        <v>0</v>
      </c>
      <c r="I130" s="59"/>
      <c r="K130" s="59"/>
      <c r="L130" s="59"/>
    </row>
    <row r="131" spans="1:12" s="149" customFormat="1" ht="15.75" thickBot="1">
      <c r="A131" s="148" t="s">
        <v>37</v>
      </c>
      <c r="B131" s="96"/>
      <c r="C131" s="96"/>
      <c r="D131" s="96"/>
      <c r="E131" s="96" t="s">
        <v>15</v>
      </c>
      <c r="F131" s="73" t="e">
        <f>IF(B131=0,NA(),IF(WeightFormat="No",((B130*2)+BarWeight)/(1.0278-(0.0278*B131)),B130/(1.0278-(0.0278*B131))))</f>
        <v>#N/A</v>
      </c>
      <c r="G131" s="73" t="e">
        <f>IF(C131=0,NA(),IF(WeightFormat="No",((C130*2)+BarWeight)/(1.0278-(0.0278*C131)),C130/(1.0278-(0.0278*C131))))</f>
        <v>#N/A</v>
      </c>
      <c r="H131" s="73" t="e">
        <f>IF(D131=0,NA(),IF(WeightFormat="No",((D130*2)+BarWeight)/(1.0278-(0.0278*D131)),D130/(1.0278-(0.0278*D131))))</f>
        <v>#N/A</v>
      </c>
      <c r="I131" s="85"/>
      <c r="K131" s="100" t="str">
        <f>K104</f>
        <v>5 x 8</v>
      </c>
      <c r="L131" s="100" t="str">
        <f>L104</f>
        <v>3 x 8</v>
      </c>
    </row>
    <row r="132" spans="1:12" s="152" customFormat="1" ht="15">
      <c r="A132" s="150" t="str">
        <f>A115</f>
        <v>Shoulder Press</v>
      </c>
      <c r="B132" s="151">
        <f>B105+28</f>
        <v>40669</v>
      </c>
      <c r="C132" s="151">
        <f>B132+7</f>
        <v>40676</v>
      </c>
      <c r="D132" s="151">
        <f>C132+7</f>
        <v>40683</v>
      </c>
      <c r="E132" s="151">
        <f>D132+7</f>
        <v>40690</v>
      </c>
      <c r="F132" s="75"/>
      <c r="G132" s="75"/>
      <c r="H132" s="75"/>
      <c r="I132" s="86"/>
      <c r="K132" s="86"/>
      <c r="L132" s="86"/>
    </row>
    <row r="133" spans="1:12" ht="15">
      <c r="A133" s="131" t="s">
        <v>34</v>
      </c>
      <c r="B133" s="93">
        <f>IF(WeightFormat="Yes",ROUND(($C115*F113)/Rounding,0)*Rounding,ROUND((($C115*F113)-BarWeight)/2/Rounding,0)*Rounding)</f>
        <v>260</v>
      </c>
      <c r="C133" s="93">
        <f>IF(WeightFormat="Yes",ROUND(($C115*G113)/Rounding,0)*Rounding,ROUND((($C115*G113)-BarWeight)/2/Rounding,0)*Rounding)</f>
        <v>280</v>
      </c>
      <c r="D133" s="93">
        <f>IF(WeightFormat="Yes",ROUND(($C115*H113)/Rounding,0)*Rounding,ROUND((($C115*H113)-BarWeight)/2/Rounding,0)*Rounding)</f>
        <v>300</v>
      </c>
      <c r="E133" s="93">
        <f>IF(WeightFormat="Yes",ROUND(($C115*I113)/Rounding,0)*Rounding,ROUND((($C115*I113)-BarWeight)/2/Rounding,0)*Rounding)</f>
        <v>160</v>
      </c>
      <c r="F133" s="64"/>
      <c r="G133" s="64"/>
      <c r="H133" s="64"/>
      <c r="K133" s="92">
        <f>IF(WeightFormat="Yes",ROUND((C115*BBBPercentage)/Rounding,0)*Rounding,ROUND((($C115*BBBPercentage)-BarWeight)/2/Rounding,0)*Rounding)</f>
        <v>200</v>
      </c>
      <c r="L133" s="93">
        <f>K133</f>
        <v>200</v>
      </c>
    </row>
    <row r="134" spans="1:12" s="134" customFormat="1" ht="15">
      <c r="A134" s="132" t="s">
        <v>35</v>
      </c>
      <c r="B134" s="133">
        <f>IF(WeightFormat="Yes",ROUND(($C115*F114)/Rounding,0)*Rounding,ROUND((($C115*F114)-BarWeight)/2/Rounding,0)*Rounding)</f>
        <v>300</v>
      </c>
      <c r="C134" s="133">
        <f>IF(WeightFormat="Yes",ROUND(($C115*G114)/Rounding,0)*Rounding,ROUND((($C115*G114)-BarWeight)/2/Rounding,0)*Rounding)</f>
        <v>320</v>
      </c>
      <c r="D134" s="133">
        <f>IF(WeightFormat="Yes",ROUND(($C115*H114)/Rounding,0)*Rounding,ROUND((($C115*H114)-BarWeight)/2/Rounding,0)*Rounding)</f>
        <v>340</v>
      </c>
      <c r="E134" s="133">
        <f>IF(WeightFormat="Yes",ROUND(($C115*I114)/Rounding,0)*Rounding,ROUND((($C115*I114)-BarWeight)/2/Rounding,0)*Rounding)</f>
        <v>200</v>
      </c>
      <c r="F134" s="66"/>
      <c r="G134" s="66"/>
      <c r="H134" s="66"/>
      <c r="I134" s="56"/>
      <c r="K134" s="56"/>
      <c r="L134" s="56"/>
    </row>
    <row r="135" spans="1:12" s="137" customFormat="1" ht="15">
      <c r="A135" s="135" t="s">
        <v>36</v>
      </c>
      <c r="B135" s="93">
        <f>IF(WeightFormat="Yes",ROUND(($C115*F115)/Rounding,0)*Rounding,ROUND((($C115*F115)-BarWeight)/2/Rounding,0)*Rounding)</f>
        <v>340</v>
      </c>
      <c r="C135" s="93">
        <f>IF(WeightFormat="Yes",ROUND(($C115*G115)/Rounding,0)*Rounding,ROUND((($C115*G115)-BarWeight)/2/Rounding,0)*Rounding)</f>
        <v>360</v>
      </c>
      <c r="D135" s="93">
        <f>IF(WeightFormat="Yes",ROUND(($C115*H115)/Rounding,0)*Rounding,ROUND((($C115*H115)-BarWeight)/2/Rounding,0)*Rounding)</f>
        <v>380</v>
      </c>
      <c r="E135" s="93">
        <f>IF(WeightFormat="Yes",ROUND(($C115*I115)/Rounding,0)*Rounding,ROUND((($C115*I115)-BarWeight)/2/Rounding,0)*Rounding)</f>
        <v>240</v>
      </c>
      <c r="F135" s="57"/>
      <c r="G135" s="58">
        <f>IF(OR(ISERROR(F136),ISERROR(G136)),0,(G136-F136)/F136)</f>
        <v>0</v>
      </c>
      <c r="H135" s="58">
        <f>IF(OR(ISERROR(G136),ISERROR(H136)),0,(H136-G136)/G136)</f>
        <v>0</v>
      </c>
      <c r="I135" s="59"/>
      <c r="K135" s="59"/>
      <c r="L135" s="59"/>
    </row>
    <row r="136" spans="1:12" s="154" customFormat="1" ht="15.75" thickBot="1">
      <c r="A136" s="153" t="s">
        <v>37</v>
      </c>
      <c r="B136" s="97"/>
      <c r="C136" s="97"/>
      <c r="D136" s="97"/>
      <c r="E136" s="97" t="s">
        <v>15</v>
      </c>
      <c r="F136" s="77" t="e">
        <f>IF(B136=0,NA(),IF(WeightFormat="No",((B135*2)+BarWeight)/(1.0278-(0.0278*B136)),B135/(1.0278-(0.0278*B136))))</f>
        <v>#N/A</v>
      </c>
      <c r="G136" s="77" t="e">
        <f>IF(C136=0,NA(),IF(WeightFormat="No",((C135*2)+BarWeight)/(1.0278-(0.0278*C136)),C135/(1.0278-(0.0278*C136))))</f>
        <v>#N/A</v>
      </c>
      <c r="H136" s="77" t="e">
        <f>IF(D136=0,NA(),IF(WeightFormat="No",((D135*2)+BarWeight)/(1.0278-(0.0278*D136)),D135/(1.0278-(0.0278*D136))))</f>
        <v>#N/A</v>
      </c>
      <c r="I136" s="87"/>
      <c r="K136" s="101" t="str">
        <f>K109</f>
        <v>5 x 10</v>
      </c>
      <c r="L136" s="101" t="str">
        <f>L109</f>
        <v>3 x 10</v>
      </c>
    </row>
    <row r="137" spans="1:12" s="116" customFormat="1" ht="19.5" thickBot="1">
      <c r="A137" s="115" t="s">
        <v>43</v>
      </c>
      <c r="B137" s="206" t="str">
        <f>TEXT(B144,"dd mmm")&amp;" to "&amp;TEXT(E159,"dd mmm yyyy")</f>
        <v>30 May to 24 Jun 2011</v>
      </c>
      <c r="C137" s="207"/>
      <c r="D137" s="207"/>
      <c r="E137" s="207"/>
      <c r="F137" s="207"/>
      <c r="G137" s="207"/>
      <c r="H137" s="207"/>
      <c r="I137" s="208"/>
      <c r="K137" s="88"/>
      <c r="L137" s="88"/>
    </row>
    <row r="138" spans="1:12" s="119" customFormat="1" ht="15">
      <c r="A138" s="117" t="s">
        <v>5</v>
      </c>
      <c r="B138" s="118" t="s">
        <v>0</v>
      </c>
      <c r="C138" s="79">
        <v>0.9</v>
      </c>
      <c r="D138" s="209"/>
      <c r="E138" s="210"/>
      <c r="F138" s="215" t="s">
        <v>14</v>
      </c>
      <c r="G138" s="215"/>
      <c r="H138" s="215"/>
      <c r="I138" s="215"/>
      <c r="K138" s="89"/>
      <c r="L138" s="89"/>
    </row>
    <row r="139" spans="1:12" s="122" customFormat="1" ht="15">
      <c r="A139" s="90" t="str">
        <f>ExOne</f>
        <v>Squat</v>
      </c>
      <c r="B139" s="120">
        <f>B112+(IncrOne/C138)</f>
        <v>1114.5555555555554</v>
      </c>
      <c r="C139" s="121">
        <f>B139*$C$3</f>
        <v>1003.0999999999999</v>
      </c>
      <c r="D139" s="211"/>
      <c r="E139" s="212"/>
      <c r="F139" s="42" t="s">
        <v>6</v>
      </c>
      <c r="G139" s="43" t="s">
        <v>7</v>
      </c>
      <c r="H139" s="43" t="s">
        <v>12</v>
      </c>
      <c r="I139" s="44" t="s">
        <v>13</v>
      </c>
      <c r="K139" s="90"/>
      <c r="L139" s="90"/>
    </row>
    <row r="140" spans="1:12" s="122" customFormat="1" ht="15">
      <c r="A140" s="90" t="str">
        <f>ExTwo</f>
        <v>Bench Press</v>
      </c>
      <c r="B140" s="120">
        <f>B113+(IncrTwo/C138)</f>
        <v>556.7777777777777</v>
      </c>
      <c r="C140" s="121">
        <f>B140*$C$3</f>
        <v>501.09999999999997</v>
      </c>
      <c r="D140" s="211"/>
      <c r="E140" s="212"/>
      <c r="F140" s="45">
        <v>0.65</v>
      </c>
      <c r="G140" s="45">
        <v>0.7</v>
      </c>
      <c r="H140" s="45">
        <v>0.75</v>
      </c>
      <c r="I140" s="46">
        <v>0.4</v>
      </c>
      <c r="K140" s="90"/>
      <c r="L140" s="90"/>
    </row>
    <row r="141" spans="1:12" s="122" customFormat="1" ht="15">
      <c r="A141" s="90" t="str">
        <f>ExThree</f>
        <v>Deadlift</v>
      </c>
      <c r="B141" s="120">
        <f>B114+(IncrThree/C138)</f>
        <v>902.5555555555554</v>
      </c>
      <c r="C141" s="121">
        <f>B141*$C$3</f>
        <v>812.3</v>
      </c>
      <c r="D141" s="211"/>
      <c r="E141" s="212"/>
      <c r="F141" s="45">
        <v>0.75</v>
      </c>
      <c r="G141" s="45">
        <v>0.8</v>
      </c>
      <c r="H141" s="45">
        <v>0.85</v>
      </c>
      <c r="I141" s="46">
        <v>0.5</v>
      </c>
      <c r="K141" s="90"/>
      <c r="L141" s="90"/>
    </row>
    <row r="142" spans="1:12" s="119" customFormat="1" ht="15">
      <c r="A142" s="89" t="str">
        <f>ExFour</f>
        <v>Shoulder Press</v>
      </c>
      <c r="B142" s="155">
        <f>B115+(IncrFour/C138)</f>
        <v>451.7777777777777</v>
      </c>
      <c r="C142" s="123">
        <f>B142*$C$3</f>
        <v>406.59999999999997</v>
      </c>
      <c r="D142" s="213"/>
      <c r="E142" s="214"/>
      <c r="F142" s="45">
        <v>0.85</v>
      </c>
      <c r="G142" s="45">
        <v>0.9</v>
      </c>
      <c r="H142" s="45">
        <v>0.95</v>
      </c>
      <c r="I142" s="46">
        <v>0.6</v>
      </c>
      <c r="K142" s="89"/>
      <c r="L142" s="89"/>
    </row>
    <row r="143" spans="1:12" s="126" customFormat="1" ht="15.75" thickBot="1">
      <c r="A143" s="124" t="s">
        <v>5</v>
      </c>
      <c r="B143" s="125"/>
      <c r="C143" s="125"/>
      <c r="D143" s="125"/>
      <c r="E143" s="125"/>
      <c r="F143" s="47"/>
      <c r="G143" s="47"/>
      <c r="H143" s="47"/>
      <c r="I143" s="48"/>
      <c r="K143" s="48"/>
      <c r="L143" s="48"/>
    </row>
    <row r="144" spans="1:12" s="130" customFormat="1" ht="15">
      <c r="A144" s="127" t="str">
        <f>A139</f>
        <v>Squat</v>
      </c>
      <c r="B144" s="128">
        <f>B117+28</f>
        <v>40693</v>
      </c>
      <c r="C144" s="129">
        <f>B144+7</f>
        <v>40700</v>
      </c>
      <c r="D144" s="129">
        <f>C144+7</f>
        <v>40707</v>
      </c>
      <c r="E144" s="129">
        <f>D144+7</f>
        <v>40714</v>
      </c>
      <c r="F144" s="49"/>
      <c r="G144" s="49"/>
      <c r="H144" s="49"/>
      <c r="I144" s="80"/>
      <c r="K144" s="91" t="s">
        <v>55</v>
      </c>
      <c r="L144" s="91" t="s">
        <v>13</v>
      </c>
    </row>
    <row r="145" spans="1:12" ht="15">
      <c r="A145" s="131" t="s">
        <v>34</v>
      </c>
      <c r="B145" s="93">
        <f>IF(WeightFormat="Yes",ROUND(($C139*F140)/Rounding,0)*Rounding,ROUND((($C139*F140)-BarWeight)/2/Rounding,0)*Rounding)</f>
        <v>650</v>
      </c>
      <c r="C145" s="93">
        <f>IF(WeightFormat="Yes",ROUND(($C139*G140)/Rounding,0)*Rounding,ROUND((($C139*G140)-BarWeight)/2/Rounding,0)*Rounding)</f>
        <v>700</v>
      </c>
      <c r="D145" s="93">
        <f>IF(WeightFormat="Yes",ROUND(($C139*H140)/Rounding,0)*Rounding,ROUND((($C139*H140)-BarWeight)/2/Rounding,0)*Rounding)</f>
        <v>750</v>
      </c>
      <c r="E145" s="93">
        <f>IF(WeightFormat="Yes",ROUND(($C139*I140)/Rounding,0)*Rounding,ROUND((($C139*I140)-BarWeight)/2/Rounding,0)*Rounding)</f>
        <v>400</v>
      </c>
      <c r="F145" s="51"/>
      <c r="K145" s="92">
        <f>IF(WeightFormat="Yes",ROUND((C139*BBBPercentage)/Rounding,0)*Rounding,ROUND((($C139*BBBPercentage)-BarWeight)/2/Rounding,0)*Rounding)</f>
        <v>500</v>
      </c>
      <c r="L145" s="93">
        <f>K145</f>
        <v>500</v>
      </c>
    </row>
    <row r="146" spans="1:12" s="134" customFormat="1" ht="15">
      <c r="A146" s="132" t="s">
        <v>35</v>
      </c>
      <c r="B146" s="133">
        <f>IF(WeightFormat="Yes",ROUND(($C139*F141)/Rounding,0)*Rounding,ROUND((($C139*F141)-BarWeight)/2/Rounding,0)*Rounding)</f>
        <v>750</v>
      </c>
      <c r="C146" s="133">
        <f>IF(WeightFormat="Yes",ROUND(($C139*G141)/Rounding,0)*Rounding,ROUND((($C139*G141)-BarWeight)/2/Rounding,0)*Rounding)</f>
        <v>800</v>
      </c>
      <c r="D146" s="133">
        <f>IF(WeightFormat="Yes",ROUND(($C139*H141)/Rounding,0)*Rounding,ROUND((($C139*H141)-BarWeight)/2/Rounding,0)*Rounding)</f>
        <v>855</v>
      </c>
      <c r="E146" s="133">
        <f>IF(WeightFormat="Yes",ROUND(($C139*I141)/Rounding,0)*Rounding,ROUND((($C139*I141)-BarWeight)/2/Rounding,0)*Rounding)</f>
        <v>500</v>
      </c>
      <c r="F146" s="54"/>
      <c r="G146" s="55"/>
      <c r="H146" s="55"/>
      <c r="I146" s="56"/>
      <c r="K146" s="56"/>
      <c r="L146" s="56"/>
    </row>
    <row r="147" spans="1:12" s="137" customFormat="1" ht="15">
      <c r="A147" s="135" t="s">
        <v>36</v>
      </c>
      <c r="B147" s="136">
        <f>IF(WeightFormat="Yes",ROUND(($C139*F142)/Rounding,0)*Rounding,ROUND((($C139*F142)-BarWeight)/2/Rounding,0)*Rounding)</f>
        <v>855</v>
      </c>
      <c r="C147" s="136">
        <f>IF(WeightFormat="Yes",ROUND(($C139*G142)/Rounding,0)*Rounding,ROUND((($C139*G142)-BarWeight)/2/Rounding,0)*Rounding)</f>
        <v>905</v>
      </c>
      <c r="D147" s="136">
        <f>IF(WeightFormat="Yes",ROUND(($C139*H142)/Rounding,0)*Rounding,ROUND((($C139*H142)-BarWeight)/2/Rounding,0)*Rounding)</f>
        <v>955</v>
      </c>
      <c r="E147" s="136">
        <f>IF(WeightFormat="Yes",ROUND(($C139*I142)/Rounding,0)*Rounding,ROUND((($C139*I142)-BarWeight)/2/Rounding,0)*Rounding)</f>
        <v>600</v>
      </c>
      <c r="F147" s="57"/>
      <c r="G147" s="58">
        <f>IF(OR(ISERROR(F148),ISERROR(G148)),0,(G148-F148)/F148)</f>
        <v>0</v>
      </c>
      <c r="H147" s="58">
        <f>IF(OR(ISERROR(G148),ISERROR(H148)),0,(H148-G148)/G148)</f>
        <v>0</v>
      </c>
      <c r="I147" s="59"/>
      <c r="K147" s="59"/>
      <c r="L147" s="59"/>
    </row>
    <row r="148" spans="1:12" s="139" customFormat="1" ht="15.75" thickBot="1">
      <c r="A148" s="138" t="s">
        <v>37</v>
      </c>
      <c r="B148" s="94"/>
      <c r="C148" s="94"/>
      <c r="D148" s="94"/>
      <c r="E148" s="94" t="s">
        <v>15</v>
      </c>
      <c r="F148" s="60" t="e">
        <f>IF(B148=0,NA(),IF(WeightFormat="No",((B147*2)+BarWeight)/(1.0278-(0.0278*B148)),B147/(1.0278-(0.0278*B148))))</f>
        <v>#N/A</v>
      </c>
      <c r="G148" s="60" t="e">
        <f>IF(C148=0,NA(),IF(WeightFormat="No",((C147*2)+BarWeight)/(1.0278-(0.0278*C148)),C147/(1.0278-(0.0278*C148))))</f>
        <v>#N/A</v>
      </c>
      <c r="H148" s="60" t="e">
        <f>IF(D148=0,NA(),IF(WeightFormat="No",((D147*2)+BarWeight)/(1.0278-(0.0278*D148)),D147/(1.0278-(0.0278*D148))))</f>
        <v>#N/A</v>
      </c>
      <c r="I148" s="81"/>
      <c r="K148" s="98" t="str">
        <f>K121</f>
        <v>5 x 10</v>
      </c>
      <c r="L148" s="98" t="str">
        <f>L121</f>
        <v>3 x 10</v>
      </c>
    </row>
    <row r="149" spans="1:12" s="142" customFormat="1" ht="15">
      <c r="A149" s="140" t="str">
        <f>A140</f>
        <v>Bench Press</v>
      </c>
      <c r="B149" s="141">
        <f>B122+28</f>
        <v>40695</v>
      </c>
      <c r="C149" s="141">
        <f>B149+7</f>
        <v>40702</v>
      </c>
      <c r="D149" s="141">
        <f>C149+7</f>
        <v>40709</v>
      </c>
      <c r="E149" s="141">
        <f>D149+7</f>
        <v>40716</v>
      </c>
      <c r="F149" s="62"/>
      <c r="G149" s="62"/>
      <c r="H149" s="62"/>
      <c r="I149" s="82"/>
      <c r="K149" s="82"/>
      <c r="L149" s="82"/>
    </row>
    <row r="150" spans="1:12" ht="15">
      <c r="A150" s="131" t="s">
        <v>34</v>
      </c>
      <c r="B150" s="93">
        <f>IF(WeightFormat="Yes",ROUND(($C140*F140)/Rounding,0)*Rounding,ROUND((($C140*F140)-BarWeight)/2/Rounding,0)*Rounding)</f>
        <v>325</v>
      </c>
      <c r="C150" s="93">
        <f>IF(WeightFormat="Yes",ROUND(($C140*G140)/Rounding,0)*Rounding,ROUND((($C140*G140)-BarWeight)/2/Rounding,0)*Rounding)</f>
        <v>350</v>
      </c>
      <c r="D150" s="93">
        <f>IF(WeightFormat="Yes",ROUND(($C140*H140)/Rounding,0)*Rounding,ROUND((($C140*H140)-BarWeight)/2/Rounding,0)*Rounding)</f>
        <v>375</v>
      </c>
      <c r="E150" s="93">
        <f>IF(WeightFormat="Yes",ROUND(($C140*I140)/Rounding,0)*Rounding,ROUND((($C140*I140)-BarWeight)/2/Rounding,0)*Rounding)</f>
        <v>200</v>
      </c>
      <c r="F150" s="64"/>
      <c r="G150" s="64"/>
      <c r="H150" s="64"/>
      <c r="K150" s="92">
        <f>IF(WeightFormat="Yes",ROUND((C140*BBBPercentage)/Rounding,0)*Rounding,ROUND((($C140*BBBPercentage)-BarWeight)/2/Rounding,0)*Rounding)</f>
        <v>250</v>
      </c>
      <c r="L150" s="93">
        <f>K150</f>
        <v>250</v>
      </c>
    </row>
    <row r="151" spans="1:12" s="134" customFormat="1" ht="15">
      <c r="A151" s="132" t="s">
        <v>35</v>
      </c>
      <c r="B151" s="133">
        <f>IF(WeightFormat="Yes",ROUND(($C140*F141)/Rounding,0)*Rounding,ROUND((($C140*F141)-BarWeight)/2/Rounding,0)*Rounding)</f>
        <v>375</v>
      </c>
      <c r="C151" s="133">
        <f>IF(WeightFormat="Yes",ROUND(($C140*G141)/Rounding,0)*Rounding,ROUND((($C140*G141)-BarWeight)/2/Rounding,0)*Rounding)</f>
        <v>400</v>
      </c>
      <c r="D151" s="133">
        <f>IF(WeightFormat="Yes",ROUND(($C140*H141)/Rounding,0)*Rounding,ROUND((($C140*H141)-BarWeight)/2/Rounding,0)*Rounding)</f>
        <v>425</v>
      </c>
      <c r="E151" s="133">
        <f>IF(WeightFormat="Yes",ROUND(($C140*I141)/Rounding,0)*Rounding,ROUND((($C140*I141)-BarWeight)/2/Rounding,0)*Rounding)</f>
        <v>250</v>
      </c>
      <c r="F151" s="66"/>
      <c r="G151" s="66"/>
      <c r="H151" s="66"/>
      <c r="I151" s="56"/>
      <c r="K151" s="56"/>
      <c r="L151" s="56"/>
    </row>
    <row r="152" spans="1:12" s="137" customFormat="1" ht="15">
      <c r="A152" s="135" t="s">
        <v>36</v>
      </c>
      <c r="B152" s="136">
        <f>IF(WeightFormat="Yes",ROUND(($C140*F142)/Rounding,0)*Rounding,ROUND((($C140*F142)-BarWeight)/2/Rounding,0)*Rounding)</f>
        <v>425</v>
      </c>
      <c r="C152" s="136">
        <f>IF(WeightFormat="Yes",ROUND(($C140*G142)/Rounding,0)*Rounding,ROUND((($C140*G142)-BarWeight)/2/Rounding,0)*Rounding)</f>
        <v>450</v>
      </c>
      <c r="D152" s="136">
        <f>IF(WeightFormat="Yes",ROUND(($C140*H142)/Rounding,0)*Rounding,ROUND((($C140*H142)-BarWeight)/2/Rounding,0)*Rounding)</f>
        <v>475</v>
      </c>
      <c r="E152" s="136">
        <f>IF(WeightFormat="Yes",ROUND(($C140*I142)/Rounding,0)*Rounding,ROUND((($C140*I142)-BarWeight)/2/Rounding,0)*Rounding)</f>
        <v>300</v>
      </c>
      <c r="F152" s="57"/>
      <c r="G152" s="58">
        <f>IF(OR(ISERROR(F153),ISERROR(G153)),0,(G153-F153)/F153)</f>
        <v>0</v>
      </c>
      <c r="H152" s="58">
        <f>IF(OR(ISERROR(G153),ISERROR(H153)),0,(H153-G153)/G153)</f>
        <v>0</v>
      </c>
      <c r="I152" s="59"/>
      <c r="K152" s="59"/>
      <c r="L152" s="59"/>
    </row>
    <row r="153" spans="1:12" s="144" customFormat="1" ht="15.75" thickBot="1">
      <c r="A153" s="143" t="s">
        <v>37</v>
      </c>
      <c r="B153" s="95"/>
      <c r="C153" s="95"/>
      <c r="D153" s="95"/>
      <c r="E153" s="95" t="s">
        <v>15</v>
      </c>
      <c r="F153" s="69" t="e">
        <f>IF(B153=0,NA(),IF(WeightFormat="No",((B152*2)+BarWeight)/(1.0278-(0.0278*B153)),B152/(1.0278-(0.0278*B153))))</f>
        <v>#N/A</v>
      </c>
      <c r="G153" s="69" t="e">
        <f>IF(C153=0,NA(),IF(WeightFormat="No",((C152*2)+BarWeight)/(1.0278-(0.0278*C153)),C152/(1.0278-(0.0278*C153))))</f>
        <v>#N/A</v>
      </c>
      <c r="H153" s="69" t="e">
        <f>IF(D153=0,NA(),IF(WeightFormat="No",((D152*2)+BarWeight)/(1.0278-(0.0278*D153)),D152/(1.0278-(0.0278*D153))))</f>
        <v>#N/A</v>
      </c>
      <c r="I153" s="83"/>
      <c r="K153" s="99" t="str">
        <f>K126</f>
        <v>5 x 10</v>
      </c>
      <c r="L153" s="99" t="str">
        <f>L126</f>
        <v>3 x 10</v>
      </c>
    </row>
    <row r="154" spans="1:12" s="147" customFormat="1" ht="15">
      <c r="A154" s="145" t="str">
        <f>A141</f>
        <v>Deadlift</v>
      </c>
      <c r="B154" s="146">
        <f>B127+28</f>
        <v>40696</v>
      </c>
      <c r="C154" s="146">
        <f>B154+7</f>
        <v>40703</v>
      </c>
      <c r="D154" s="146">
        <f>C154+7</f>
        <v>40710</v>
      </c>
      <c r="E154" s="146">
        <f>D154+7</f>
        <v>40717</v>
      </c>
      <c r="F154" s="71"/>
      <c r="G154" s="71"/>
      <c r="H154" s="71"/>
      <c r="I154" s="84"/>
      <c r="K154" s="84"/>
      <c r="L154" s="84"/>
    </row>
    <row r="155" spans="1:12" ht="15">
      <c r="A155" s="131" t="s">
        <v>34</v>
      </c>
      <c r="B155" s="93">
        <f>IF(WeightFormat="Yes",ROUND(($C141*F140)/Rounding,0)*Rounding,ROUND((($C141*F140)-BarWeight)/2/Rounding,0)*Rounding)</f>
        <v>530</v>
      </c>
      <c r="C155" s="93">
        <f>IF(WeightFormat="Yes",ROUND(($C141*G140)/Rounding,0)*Rounding,ROUND((($C141*G140)-BarWeight)/2/Rounding,0)*Rounding)</f>
        <v>570</v>
      </c>
      <c r="D155" s="93">
        <f>IF(WeightFormat="Yes",ROUND(($C141*H140)/Rounding,0)*Rounding,ROUND((($C141*H140)-BarWeight)/2/Rounding,0)*Rounding)</f>
        <v>610</v>
      </c>
      <c r="E155" s="93">
        <f>IF(WeightFormat="Yes",ROUND(($C141*I140)/Rounding,0)*Rounding,ROUND((($C141*I140)-BarWeight)/2/Rounding,0)*Rounding)</f>
        <v>325</v>
      </c>
      <c r="F155" s="64"/>
      <c r="G155" s="64"/>
      <c r="H155" s="64"/>
      <c r="K155" s="92">
        <f>IF(WeightFormat="Yes",ROUND((C141*BBBPercentage)/Rounding,0)*Rounding,ROUND((($C141*BBBPercentage)-BarWeight)/2/Rounding,0)*Rounding)</f>
        <v>405</v>
      </c>
      <c r="L155" s="93">
        <f>K155</f>
        <v>405</v>
      </c>
    </row>
    <row r="156" spans="1:12" s="134" customFormat="1" ht="15">
      <c r="A156" s="132" t="s">
        <v>35</v>
      </c>
      <c r="B156" s="133">
        <f>IF(WeightFormat="Yes",ROUND(($C141*F141)/Rounding,0)*Rounding,ROUND((($C141*F141)-BarWeight)/2/Rounding,0)*Rounding)</f>
        <v>610</v>
      </c>
      <c r="C156" s="133">
        <f>IF(WeightFormat="Yes",ROUND(($C141*G141)/Rounding,0)*Rounding,ROUND((($C141*G141)-BarWeight)/2/Rounding,0)*Rounding)</f>
        <v>650</v>
      </c>
      <c r="D156" s="133">
        <f>IF(WeightFormat="Yes",ROUND(($C141*H141)/Rounding,0)*Rounding,ROUND((($C141*H141)-BarWeight)/2/Rounding,0)*Rounding)</f>
        <v>690</v>
      </c>
      <c r="E156" s="133">
        <f>IF(WeightFormat="Yes",ROUND(($C141*I141)/Rounding,0)*Rounding,ROUND((($C141*I141)-BarWeight)/2/Rounding,0)*Rounding)</f>
        <v>405</v>
      </c>
      <c r="F156" s="66"/>
      <c r="G156" s="66"/>
      <c r="H156" s="66"/>
      <c r="I156" s="56"/>
      <c r="K156" s="56"/>
      <c r="L156" s="56"/>
    </row>
    <row r="157" spans="1:12" s="137" customFormat="1" ht="15">
      <c r="A157" s="135" t="s">
        <v>36</v>
      </c>
      <c r="B157" s="136">
        <f>IF(WeightFormat="Yes",ROUND(($C141*F142)/Rounding,0)*Rounding,ROUND((($C141*F142)-BarWeight)/2/Rounding,0)*Rounding)</f>
        <v>690</v>
      </c>
      <c r="C157" s="136">
        <f>IF(WeightFormat="Yes",ROUND(($C141*G142)/Rounding,0)*Rounding,ROUND((($C141*G142)-BarWeight)/2/Rounding,0)*Rounding)</f>
        <v>730</v>
      </c>
      <c r="D157" s="136">
        <f>IF(WeightFormat="Yes",ROUND(($C141*H142)/Rounding,0)*Rounding,ROUND((($C141*H142)-BarWeight)/2/Rounding,0)*Rounding)</f>
        <v>770</v>
      </c>
      <c r="E157" s="136">
        <f>IF(WeightFormat="Yes",ROUND(($C141*I142)/Rounding,0)*Rounding,ROUND((($C141*I142)-BarWeight)/2/Rounding,0)*Rounding)</f>
        <v>485</v>
      </c>
      <c r="F157" s="57"/>
      <c r="G157" s="58">
        <f>IF(OR(ISERROR(F158),ISERROR(G158)),0,(G158-F158)/F158)</f>
        <v>0</v>
      </c>
      <c r="H157" s="58">
        <f>IF(OR(ISERROR(G158),ISERROR(H158)),0,(H158-G158)/G158)</f>
        <v>0</v>
      </c>
      <c r="I157" s="59"/>
      <c r="K157" s="59"/>
      <c r="L157" s="59"/>
    </row>
    <row r="158" spans="1:12" s="149" customFormat="1" ht="15.75" thickBot="1">
      <c r="A158" s="148" t="s">
        <v>37</v>
      </c>
      <c r="B158" s="96"/>
      <c r="C158" s="96"/>
      <c r="D158" s="96"/>
      <c r="E158" s="96" t="s">
        <v>15</v>
      </c>
      <c r="F158" s="73" t="e">
        <f>IF(B158=0,NA(),IF(WeightFormat="No",((B157*2)+BarWeight)/(1.0278-(0.0278*B158)),B157/(1.0278-(0.0278*B158))))</f>
        <v>#N/A</v>
      </c>
      <c r="G158" s="73" t="e">
        <f>IF(C158=0,NA(),IF(WeightFormat="No",((C157*2)+BarWeight)/(1.0278-(0.0278*C158)),C157/(1.0278-(0.0278*C158))))</f>
        <v>#N/A</v>
      </c>
      <c r="H158" s="73" t="e">
        <f>IF(D158=0,NA(),IF(WeightFormat="No",((D157*2)+BarWeight)/(1.0278-(0.0278*D158)),D157/(1.0278-(0.0278*D158))))</f>
        <v>#N/A</v>
      </c>
      <c r="I158" s="85"/>
      <c r="K158" s="100" t="str">
        <f>K131</f>
        <v>5 x 8</v>
      </c>
      <c r="L158" s="100" t="str">
        <f>L131</f>
        <v>3 x 8</v>
      </c>
    </row>
    <row r="159" spans="1:12" s="152" customFormat="1" ht="15">
      <c r="A159" s="150" t="str">
        <f>A142</f>
        <v>Shoulder Press</v>
      </c>
      <c r="B159" s="151">
        <f>B132+28</f>
        <v>40697</v>
      </c>
      <c r="C159" s="151">
        <f>B159+7</f>
        <v>40704</v>
      </c>
      <c r="D159" s="151">
        <f>C159+7</f>
        <v>40711</v>
      </c>
      <c r="E159" s="151">
        <f>D159+7</f>
        <v>40718</v>
      </c>
      <c r="F159" s="75"/>
      <c r="G159" s="75"/>
      <c r="H159" s="75"/>
      <c r="I159" s="86"/>
      <c r="K159" s="86"/>
      <c r="L159" s="86"/>
    </row>
    <row r="160" spans="1:12" ht="15">
      <c r="A160" s="131" t="s">
        <v>34</v>
      </c>
      <c r="B160" s="93">
        <f>IF(WeightFormat="Yes",ROUND(($C142*F140)/Rounding,0)*Rounding,ROUND((($C142*F140)-BarWeight)/2/Rounding,0)*Rounding)</f>
        <v>265</v>
      </c>
      <c r="C160" s="93">
        <f>IF(WeightFormat="Yes",ROUND(($C142*G140)/Rounding,0)*Rounding,ROUND((($C142*G140)-BarWeight)/2/Rounding,0)*Rounding)</f>
        <v>285</v>
      </c>
      <c r="D160" s="93">
        <f>IF(WeightFormat="Yes",ROUND(($C142*H140)/Rounding,0)*Rounding,ROUND((($C142*H140)-BarWeight)/2/Rounding,0)*Rounding)</f>
        <v>305</v>
      </c>
      <c r="E160" s="93">
        <f>IF(WeightFormat="Yes",ROUND(($C142*I140)/Rounding,0)*Rounding,ROUND((($C142*I140)-BarWeight)/2/Rounding,0)*Rounding)</f>
        <v>165</v>
      </c>
      <c r="F160" s="64"/>
      <c r="G160" s="64"/>
      <c r="H160" s="64"/>
      <c r="K160" s="92">
        <f>IF(WeightFormat="Yes",ROUND((C142*BBBPercentage)/Rounding,0)*Rounding,ROUND((($C142*BBBPercentage)-BarWeight)/2/Rounding,0)*Rounding)</f>
        <v>205</v>
      </c>
      <c r="L160" s="93">
        <f>K160</f>
        <v>205</v>
      </c>
    </row>
    <row r="161" spans="1:12" s="134" customFormat="1" ht="15">
      <c r="A161" s="132" t="s">
        <v>35</v>
      </c>
      <c r="B161" s="133">
        <f>IF(WeightFormat="Yes",ROUND(($C142*F141)/Rounding,0)*Rounding,ROUND((($C142*F141)-BarWeight)/2/Rounding,0)*Rounding)</f>
        <v>305</v>
      </c>
      <c r="C161" s="133">
        <f>IF(WeightFormat="Yes",ROUND(($C142*G141)/Rounding,0)*Rounding,ROUND((($C142*G141)-BarWeight)/2/Rounding,0)*Rounding)</f>
        <v>325</v>
      </c>
      <c r="D161" s="133">
        <f>IF(WeightFormat="Yes",ROUND(($C142*H141)/Rounding,0)*Rounding,ROUND((($C142*H141)-BarWeight)/2/Rounding,0)*Rounding)</f>
        <v>345</v>
      </c>
      <c r="E161" s="133">
        <f>IF(WeightFormat="Yes",ROUND(($C142*I141)/Rounding,0)*Rounding,ROUND((($C142*I141)-BarWeight)/2/Rounding,0)*Rounding)</f>
        <v>205</v>
      </c>
      <c r="F161" s="66"/>
      <c r="G161" s="66"/>
      <c r="H161" s="66"/>
      <c r="I161" s="56"/>
      <c r="K161" s="56"/>
      <c r="L161" s="56"/>
    </row>
    <row r="162" spans="1:12" s="137" customFormat="1" ht="15">
      <c r="A162" s="135" t="s">
        <v>36</v>
      </c>
      <c r="B162" s="93">
        <f>IF(WeightFormat="Yes",ROUND(($C142*F142)/Rounding,0)*Rounding,ROUND((($C142*F142)-BarWeight)/2/Rounding,0)*Rounding)</f>
        <v>345</v>
      </c>
      <c r="C162" s="93">
        <f>IF(WeightFormat="Yes",ROUND(($C142*G142)/Rounding,0)*Rounding,ROUND((($C142*G142)-BarWeight)/2/Rounding,0)*Rounding)</f>
        <v>365</v>
      </c>
      <c r="D162" s="93">
        <f>IF(WeightFormat="Yes",ROUND(($C142*H142)/Rounding,0)*Rounding,ROUND((($C142*H142)-BarWeight)/2/Rounding,0)*Rounding)</f>
        <v>385</v>
      </c>
      <c r="E162" s="93">
        <f>IF(WeightFormat="Yes",ROUND(($C142*I142)/Rounding,0)*Rounding,ROUND((($C142*I142)-BarWeight)/2/Rounding,0)*Rounding)</f>
        <v>245</v>
      </c>
      <c r="F162" s="57"/>
      <c r="G162" s="58">
        <f>IF(OR(ISERROR(F163),ISERROR(G163)),0,(G163-F163)/F163)</f>
        <v>0</v>
      </c>
      <c r="H162" s="58">
        <f>IF(OR(ISERROR(G163),ISERROR(H163)),0,(H163-G163)/G163)</f>
        <v>0</v>
      </c>
      <c r="I162" s="59"/>
      <c r="K162" s="59"/>
      <c r="L162" s="59"/>
    </row>
    <row r="163" spans="1:12" s="154" customFormat="1" ht="15.75" thickBot="1">
      <c r="A163" s="153" t="s">
        <v>37</v>
      </c>
      <c r="B163" s="97"/>
      <c r="C163" s="97"/>
      <c r="D163" s="97"/>
      <c r="E163" s="97" t="s">
        <v>15</v>
      </c>
      <c r="F163" s="77" t="e">
        <f>IF(B163=0,NA(),IF(WeightFormat="No",((B162*2)+BarWeight)/(1.0278-(0.0278*B163)),B162/(1.0278-(0.0278*B163))))</f>
        <v>#N/A</v>
      </c>
      <c r="G163" s="77" t="e">
        <f>IF(C163=0,NA(),IF(WeightFormat="No",((C162*2)+BarWeight)/(1.0278-(0.0278*C163)),C162/(1.0278-(0.0278*C163))))</f>
        <v>#N/A</v>
      </c>
      <c r="H163" s="77" t="e">
        <f>IF(D163=0,NA(),IF(WeightFormat="No",((D162*2)+BarWeight)/(1.0278-(0.0278*D163)),D162/(1.0278-(0.0278*D163))))</f>
        <v>#N/A</v>
      </c>
      <c r="I163" s="87"/>
      <c r="K163" s="101" t="str">
        <f>K136</f>
        <v>5 x 10</v>
      </c>
      <c r="L163" s="101" t="str">
        <f>L136</f>
        <v>3 x 10</v>
      </c>
    </row>
    <row r="164" spans="1:12" s="116" customFormat="1" ht="19.5" thickBot="1">
      <c r="A164" s="115" t="s">
        <v>44</v>
      </c>
      <c r="B164" s="206" t="str">
        <f>TEXT(B171,"dd mmm")&amp;" to "&amp;TEXT(E186,"dd mmm yyyy")</f>
        <v>27 Jun to 22 Jul 2011</v>
      </c>
      <c r="C164" s="207"/>
      <c r="D164" s="207"/>
      <c r="E164" s="207"/>
      <c r="F164" s="207"/>
      <c r="G164" s="207"/>
      <c r="H164" s="207"/>
      <c r="I164" s="208"/>
      <c r="K164" s="88"/>
      <c r="L164" s="88"/>
    </row>
    <row r="165" spans="1:12" s="119" customFormat="1" ht="15">
      <c r="A165" s="117" t="s">
        <v>5</v>
      </c>
      <c r="B165" s="118" t="s">
        <v>0</v>
      </c>
      <c r="C165" s="79">
        <v>0.9</v>
      </c>
      <c r="D165" s="209"/>
      <c r="E165" s="210"/>
      <c r="F165" s="215" t="s">
        <v>14</v>
      </c>
      <c r="G165" s="215"/>
      <c r="H165" s="215"/>
      <c r="I165" s="215"/>
      <c r="K165" s="89"/>
      <c r="L165" s="89"/>
    </row>
    <row r="166" spans="1:12" s="122" customFormat="1" ht="15">
      <c r="A166" s="90" t="str">
        <f>ExOne</f>
        <v>Squat</v>
      </c>
      <c r="B166" s="120">
        <f>B139+(IncrOne/C165)</f>
        <v>1125.6666666666665</v>
      </c>
      <c r="C166" s="121">
        <f>B166*$C$3</f>
        <v>1013.0999999999999</v>
      </c>
      <c r="D166" s="211"/>
      <c r="E166" s="212"/>
      <c r="F166" s="42" t="s">
        <v>6</v>
      </c>
      <c r="G166" s="43" t="s">
        <v>7</v>
      </c>
      <c r="H166" s="43" t="s">
        <v>12</v>
      </c>
      <c r="I166" s="44" t="s">
        <v>13</v>
      </c>
      <c r="K166" s="90"/>
      <c r="L166" s="90"/>
    </row>
    <row r="167" spans="1:12" s="122" customFormat="1" ht="15">
      <c r="A167" s="90" t="str">
        <f>ExTwo</f>
        <v>Bench Press</v>
      </c>
      <c r="B167" s="120">
        <f>B140+(IncrTwo/C165)</f>
        <v>562.3333333333333</v>
      </c>
      <c r="C167" s="121">
        <f>B167*$C$3</f>
        <v>506.09999999999997</v>
      </c>
      <c r="D167" s="211"/>
      <c r="E167" s="212"/>
      <c r="F167" s="45">
        <v>0.65</v>
      </c>
      <c r="G167" s="45">
        <v>0.7</v>
      </c>
      <c r="H167" s="45">
        <v>0.75</v>
      </c>
      <c r="I167" s="46">
        <v>0.4</v>
      </c>
      <c r="K167" s="90"/>
      <c r="L167" s="90"/>
    </row>
    <row r="168" spans="1:12" s="122" customFormat="1" ht="15">
      <c r="A168" s="90" t="str">
        <f>ExThree</f>
        <v>Deadlift</v>
      </c>
      <c r="B168" s="120">
        <f>B141+(IncrThree/C165)</f>
        <v>913.6666666666665</v>
      </c>
      <c r="C168" s="121">
        <f>B168*$C$3</f>
        <v>822.2999999999998</v>
      </c>
      <c r="D168" s="211"/>
      <c r="E168" s="212"/>
      <c r="F168" s="45">
        <v>0.75</v>
      </c>
      <c r="G168" s="45">
        <v>0.8</v>
      </c>
      <c r="H168" s="45">
        <v>0.85</v>
      </c>
      <c r="I168" s="46">
        <v>0.5</v>
      </c>
      <c r="K168" s="90"/>
      <c r="L168" s="90"/>
    </row>
    <row r="169" spans="1:12" s="119" customFormat="1" ht="15">
      <c r="A169" s="89" t="str">
        <f>ExFour</f>
        <v>Shoulder Press</v>
      </c>
      <c r="B169" s="155">
        <f>B142+(IncrFour/C165)</f>
        <v>457.33333333333326</v>
      </c>
      <c r="C169" s="123">
        <f>B169*$C$3</f>
        <v>411.59999999999997</v>
      </c>
      <c r="D169" s="213"/>
      <c r="E169" s="214"/>
      <c r="F169" s="45">
        <v>0.85</v>
      </c>
      <c r="G169" s="45">
        <v>0.9</v>
      </c>
      <c r="H169" s="45">
        <v>0.95</v>
      </c>
      <c r="I169" s="46">
        <v>0.6</v>
      </c>
      <c r="K169" s="89"/>
      <c r="L169" s="89"/>
    </row>
    <row r="170" spans="1:12" s="126" customFormat="1" ht="15.75" thickBot="1">
      <c r="A170" s="124" t="s">
        <v>5</v>
      </c>
      <c r="B170" s="125"/>
      <c r="C170" s="125"/>
      <c r="D170" s="125"/>
      <c r="E170" s="125"/>
      <c r="F170" s="47"/>
      <c r="G170" s="47"/>
      <c r="H170" s="47"/>
      <c r="I170" s="48"/>
      <c r="K170" s="48"/>
      <c r="L170" s="48"/>
    </row>
    <row r="171" spans="1:12" s="130" customFormat="1" ht="15">
      <c r="A171" s="127" t="str">
        <f>A166</f>
        <v>Squat</v>
      </c>
      <c r="B171" s="128">
        <f>B144+28</f>
        <v>40721</v>
      </c>
      <c r="C171" s="129">
        <f>B171+7</f>
        <v>40728</v>
      </c>
      <c r="D171" s="129">
        <f>C171+7</f>
        <v>40735</v>
      </c>
      <c r="E171" s="129">
        <f>D171+7</f>
        <v>40742</v>
      </c>
      <c r="F171" s="49"/>
      <c r="G171" s="49"/>
      <c r="H171" s="49"/>
      <c r="I171" s="80"/>
      <c r="K171" s="91" t="s">
        <v>55</v>
      </c>
      <c r="L171" s="91" t="s">
        <v>13</v>
      </c>
    </row>
    <row r="172" spans="1:12" ht="15">
      <c r="A172" s="131" t="s">
        <v>34</v>
      </c>
      <c r="B172" s="93">
        <f>IF(WeightFormat="Yes",ROUND(($C166*F167)/Rounding,0)*Rounding,ROUND((($C166*F167)-BarWeight)/2/Rounding,0)*Rounding)</f>
        <v>660</v>
      </c>
      <c r="C172" s="93">
        <f>IF(WeightFormat="Yes",ROUND(($C166*G167)/Rounding,0)*Rounding,ROUND((($C166*G167)-BarWeight)/2/Rounding,0)*Rounding)</f>
        <v>710</v>
      </c>
      <c r="D172" s="93">
        <f>IF(WeightFormat="Yes",ROUND(($C166*H167)/Rounding,0)*Rounding,ROUND((($C166*H167)-BarWeight)/2/Rounding,0)*Rounding)</f>
        <v>760</v>
      </c>
      <c r="E172" s="93">
        <f>IF(WeightFormat="Yes",ROUND(($C166*I167)/Rounding,0)*Rounding,ROUND((($C166*I167)-BarWeight)/2/Rounding,0)*Rounding)</f>
        <v>405</v>
      </c>
      <c r="F172" s="51"/>
      <c r="K172" s="92">
        <f>IF(WeightFormat="Yes",ROUND((C166*BBBPercentage)/Rounding,0)*Rounding,ROUND((($C166*BBBPercentage)-BarWeight)/2/Rounding,0)*Rounding)</f>
        <v>505</v>
      </c>
      <c r="L172" s="93">
        <f>K172</f>
        <v>505</v>
      </c>
    </row>
    <row r="173" spans="1:12" s="134" customFormat="1" ht="15">
      <c r="A173" s="132" t="s">
        <v>35</v>
      </c>
      <c r="B173" s="133">
        <f>IF(WeightFormat="Yes",ROUND(($C166*F168)/Rounding,0)*Rounding,ROUND((($C166*F168)-BarWeight)/2/Rounding,0)*Rounding)</f>
        <v>760</v>
      </c>
      <c r="C173" s="133">
        <f>IF(WeightFormat="Yes",ROUND(($C166*G168)/Rounding,0)*Rounding,ROUND((($C166*G168)-BarWeight)/2/Rounding,0)*Rounding)</f>
        <v>810</v>
      </c>
      <c r="D173" s="133">
        <f>IF(WeightFormat="Yes",ROUND(($C166*H168)/Rounding,0)*Rounding,ROUND((($C166*H168)-BarWeight)/2/Rounding,0)*Rounding)</f>
        <v>860</v>
      </c>
      <c r="E173" s="133">
        <f>IF(WeightFormat="Yes",ROUND(($C166*I168)/Rounding,0)*Rounding,ROUND((($C166*I168)-BarWeight)/2/Rounding,0)*Rounding)</f>
        <v>505</v>
      </c>
      <c r="F173" s="54"/>
      <c r="G173" s="55"/>
      <c r="H173" s="55"/>
      <c r="I173" s="56"/>
      <c r="K173" s="56"/>
      <c r="L173" s="56"/>
    </row>
    <row r="174" spans="1:12" s="137" customFormat="1" ht="15">
      <c r="A174" s="135" t="s">
        <v>36</v>
      </c>
      <c r="B174" s="136">
        <f>IF(WeightFormat="Yes",ROUND(($C166*F169)/Rounding,0)*Rounding,ROUND((($C166*F169)-BarWeight)/2/Rounding,0)*Rounding)</f>
        <v>860</v>
      </c>
      <c r="C174" s="136">
        <f>IF(WeightFormat="Yes",ROUND(($C166*G169)/Rounding,0)*Rounding,ROUND((($C166*G169)-BarWeight)/2/Rounding,0)*Rounding)</f>
        <v>910</v>
      </c>
      <c r="D174" s="136">
        <f>IF(WeightFormat="Yes",ROUND(($C166*H169)/Rounding,0)*Rounding,ROUND((($C166*H169)-BarWeight)/2/Rounding,0)*Rounding)</f>
        <v>960</v>
      </c>
      <c r="E174" s="136">
        <f>IF(WeightFormat="Yes",ROUND(($C166*I169)/Rounding,0)*Rounding,ROUND((($C166*I169)-BarWeight)/2/Rounding,0)*Rounding)</f>
        <v>610</v>
      </c>
      <c r="F174" s="57"/>
      <c r="G174" s="58">
        <f>IF(OR(ISERROR(F175),ISERROR(G175)),0,(G175-F175)/F175)</f>
        <v>0</v>
      </c>
      <c r="H174" s="58">
        <f>IF(OR(ISERROR(G175),ISERROR(H175)),0,(H175-G175)/G175)</f>
        <v>0</v>
      </c>
      <c r="I174" s="59"/>
      <c r="K174" s="59"/>
      <c r="L174" s="59"/>
    </row>
    <row r="175" spans="1:12" s="139" customFormat="1" ht="15.75" thickBot="1">
      <c r="A175" s="138" t="s">
        <v>37</v>
      </c>
      <c r="B175" s="94"/>
      <c r="C175" s="94"/>
      <c r="D175" s="94"/>
      <c r="E175" s="94" t="s">
        <v>15</v>
      </c>
      <c r="F175" s="60" t="e">
        <f>IF(B175=0,NA(),IF(WeightFormat="No",((B174*2)+BarWeight)/(1.0278-(0.0278*B175)),B174/(1.0278-(0.0278*B175))))</f>
        <v>#N/A</v>
      </c>
      <c r="G175" s="60" t="e">
        <f>IF(C175=0,NA(),IF(WeightFormat="No",((C174*2)+BarWeight)/(1.0278-(0.0278*C175)),C174/(1.0278-(0.0278*C175))))</f>
        <v>#N/A</v>
      </c>
      <c r="H175" s="60" t="e">
        <f>IF(D175=0,NA(),IF(WeightFormat="No",((D174*2)+BarWeight)/(1.0278-(0.0278*D175)),D174/(1.0278-(0.0278*D175))))</f>
        <v>#N/A</v>
      </c>
      <c r="I175" s="81"/>
      <c r="K175" s="98" t="str">
        <f>K148</f>
        <v>5 x 10</v>
      </c>
      <c r="L175" s="98" t="str">
        <f>L148</f>
        <v>3 x 10</v>
      </c>
    </row>
    <row r="176" spans="1:12" s="142" customFormat="1" ht="15">
      <c r="A176" s="140" t="str">
        <f>A167</f>
        <v>Bench Press</v>
      </c>
      <c r="B176" s="141">
        <f>B149+28</f>
        <v>40723</v>
      </c>
      <c r="C176" s="141">
        <f>B176+7</f>
        <v>40730</v>
      </c>
      <c r="D176" s="141">
        <f>C176+7</f>
        <v>40737</v>
      </c>
      <c r="E176" s="141">
        <f>D176+7</f>
        <v>40744</v>
      </c>
      <c r="F176" s="62"/>
      <c r="G176" s="62"/>
      <c r="H176" s="62"/>
      <c r="I176" s="82"/>
      <c r="K176" s="82"/>
      <c r="L176" s="82"/>
    </row>
    <row r="177" spans="1:12" ht="15">
      <c r="A177" s="131" t="s">
        <v>34</v>
      </c>
      <c r="B177" s="93">
        <f>IF(WeightFormat="Yes",ROUND(($C167*F167)/Rounding,0)*Rounding,ROUND((($C167*F167)-BarWeight)/2/Rounding,0)*Rounding)</f>
        <v>330</v>
      </c>
      <c r="C177" s="93">
        <f>IF(WeightFormat="Yes",ROUND(($C167*G167)/Rounding,0)*Rounding,ROUND((($C167*G167)-BarWeight)/2/Rounding,0)*Rounding)</f>
        <v>355</v>
      </c>
      <c r="D177" s="93">
        <f>IF(WeightFormat="Yes",ROUND(($C167*H167)/Rounding,0)*Rounding,ROUND((($C167*H167)-BarWeight)/2/Rounding,0)*Rounding)</f>
        <v>380</v>
      </c>
      <c r="E177" s="93">
        <f>IF(WeightFormat="Yes",ROUND(($C167*I167)/Rounding,0)*Rounding,ROUND((($C167*I167)-BarWeight)/2/Rounding,0)*Rounding)</f>
        <v>200</v>
      </c>
      <c r="F177" s="64"/>
      <c r="G177" s="64"/>
      <c r="H177" s="64"/>
      <c r="K177" s="92">
        <f>IF(WeightFormat="Yes",ROUND((C167*BBBPercentage)/Rounding,0)*Rounding,ROUND((($C167*BBBPercentage)-BarWeight)/2/Rounding,0)*Rounding)</f>
        <v>255</v>
      </c>
      <c r="L177" s="93">
        <f>K177</f>
        <v>255</v>
      </c>
    </row>
    <row r="178" spans="1:12" s="134" customFormat="1" ht="15">
      <c r="A178" s="132" t="s">
        <v>35</v>
      </c>
      <c r="B178" s="133">
        <f>IF(WeightFormat="Yes",ROUND(($C167*F168)/Rounding,0)*Rounding,ROUND((($C167*F168)-BarWeight)/2/Rounding,0)*Rounding)</f>
        <v>380</v>
      </c>
      <c r="C178" s="133">
        <f>IF(WeightFormat="Yes",ROUND(($C167*G168)/Rounding,0)*Rounding,ROUND((($C167*G168)-BarWeight)/2/Rounding,0)*Rounding)</f>
        <v>405</v>
      </c>
      <c r="D178" s="133">
        <f>IF(WeightFormat="Yes",ROUND(($C167*H168)/Rounding,0)*Rounding,ROUND((($C167*H168)-BarWeight)/2/Rounding,0)*Rounding)</f>
        <v>430</v>
      </c>
      <c r="E178" s="133">
        <f>IF(WeightFormat="Yes",ROUND(($C167*I168)/Rounding,0)*Rounding,ROUND((($C167*I168)-BarWeight)/2/Rounding,0)*Rounding)</f>
        <v>255</v>
      </c>
      <c r="F178" s="66"/>
      <c r="G178" s="66"/>
      <c r="H178" s="66"/>
      <c r="I178" s="56"/>
      <c r="K178" s="56"/>
      <c r="L178" s="56"/>
    </row>
    <row r="179" spans="1:12" s="137" customFormat="1" ht="15">
      <c r="A179" s="135" t="s">
        <v>36</v>
      </c>
      <c r="B179" s="136">
        <f>IF(WeightFormat="Yes",ROUND(($C167*F169)/Rounding,0)*Rounding,ROUND((($C167*F169)-BarWeight)/2/Rounding,0)*Rounding)</f>
        <v>430</v>
      </c>
      <c r="C179" s="136">
        <f>IF(WeightFormat="Yes",ROUND(($C167*G169)/Rounding,0)*Rounding,ROUND((($C167*G169)-BarWeight)/2/Rounding,0)*Rounding)</f>
        <v>455</v>
      </c>
      <c r="D179" s="136">
        <f>IF(WeightFormat="Yes",ROUND(($C167*H169)/Rounding,0)*Rounding,ROUND((($C167*H169)-BarWeight)/2/Rounding,0)*Rounding)</f>
        <v>480</v>
      </c>
      <c r="E179" s="136">
        <f>IF(WeightFormat="Yes",ROUND(($C167*I169)/Rounding,0)*Rounding,ROUND((($C167*I169)-BarWeight)/2/Rounding,0)*Rounding)</f>
        <v>305</v>
      </c>
      <c r="F179" s="57"/>
      <c r="G179" s="58">
        <f>IF(OR(ISERROR(F180),ISERROR(G180)),0,(G180-F180)/F180)</f>
        <v>0</v>
      </c>
      <c r="H179" s="58">
        <f>IF(OR(ISERROR(G180),ISERROR(H180)),0,(H180-G180)/G180)</f>
        <v>0</v>
      </c>
      <c r="I179" s="59"/>
      <c r="K179" s="59"/>
      <c r="L179" s="59"/>
    </row>
    <row r="180" spans="1:12" s="144" customFormat="1" ht="15.75" thickBot="1">
      <c r="A180" s="143" t="s">
        <v>37</v>
      </c>
      <c r="B180" s="95"/>
      <c r="C180" s="95"/>
      <c r="D180" s="95"/>
      <c r="E180" s="95" t="s">
        <v>15</v>
      </c>
      <c r="F180" s="69" t="e">
        <f>IF(B180=0,NA(),IF(WeightFormat="No",((B179*2)+BarWeight)/(1.0278-(0.0278*B180)),B179/(1.0278-(0.0278*B180))))</f>
        <v>#N/A</v>
      </c>
      <c r="G180" s="69" t="e">
        <f>IF(C180=0,NA(),IF(WeightFormat="No",((C179*2)+BarWeight)/(1.0278-(0.0278*C180)),C179/(1.0278-(0.0278*C180))))</f>
        <v>#N/A</v>
      </c>
      <c r="H180" s="69" t="e">
        <f>IF(D180=0,NA(),IF(WeightFormat="No",((D179*2)+BarWeight)/(1.0278-(0.0278*D180)),D179/(1.0278-(0.0278*D180))))</f>
        <v>#N/A</v>
      </c>
      <c r="I180" s="83"/>
      <c r="K180" s="99" t="str">
        <f>K153</f>
        <v>5 x 10</v>
      </c>
      <c r="L180" s="99" t="str">
        <f>L153</f>
        <v>3 x 10</v>
      </c>
    </row>
    <row r="181" spans="1:12" s="147" customFormat="1" ht="15">
      <c r="A181" s="145" t="str">
        <f>A168</f>
        <v>Deadlift</v>
      </c>
      <c r="B181" s="146">
        <f>B154+28</f>
        <v>40724</v>
      </c>
      <c r="C181" s="146">
        <f>B181+7</f>
        <v>40731</v>
      </c>
      <c r="D181" s="146">
        <f>C181+7</f>
        <v>40738</v>
      </c>
      <c r="E181" s="146">
        <f>D181+7</f>
        <v>40745</v>
      </c>
      <c r="F181" s="71"/>
      <c r="G181" s="71"/>
      <c r="H181" s="71"/>
      <c r="I181" s="84"/>
      <c r="K181" s="84"/>
      <c r="L181" s="84"/>
    </row>
    <row r="182" spans="1:12" ht="15">
      <c r="A182" s="131" t="s">
        <v>34</v>
      </c>
      <c r="B182" s="93">
        <f>IF(WeightFormat="Yes",ROUND(($C168*F167)/Rounding,0)*Rounding,ROUND((($C168*F167)-BarWeight)/2/Rounding,0)*Rounding)</f>
        <v>535</v>
      </c>
      <c r="C182" s="93">
        <f>IF(WeightFormat="Yes",ROUND(($C168*G167)/Rounding,0)*Rounding,ROUND((($C168*G167)-BarWeight)/2/Rounding,0)*Rounding)</f>
        <v>575</v>
      </c>
      <c r="D182" s="93">
        <f>IF(WeightFormat="Yes",ROUND(($C168*H167)/Rounding,0)*Rounding,ROUND((($C168*H167)-BarWeight)/2/Rounding,0)*Rounding)</f>
        <v>615</v>
      </c>
      <c r="E182" s="93">
        <f>IF(WeightFormat="Yes",ROUND(($C168*I167)/Rounding,0)*Rounding,ROUND((($C168*I167)-BarWeight)/2/Rounding,0)*Rounding)</f>
        <v>330</v>
      </c>
      <c r="F182" s="64"/>
      <c r="G182" s="64"/>
      <c r="H182" s="64"/>
      <c r="K182" s="92">
        <f>IF(WeightFormat="Yes",ROUND((C168*BBBPercentage)/Rounding,0)*Rounding,ROUND((($C168*BBBPercentage)-BarWeight)/2/Rounding,0)*Rounding)</f>
        <v>410</v>
      </c>
      <c r="L182" s="93">
        <f>K182</f>
        <v>410</v>
      </c>
    </row>
    <row r="183" spans="1:12" s="134" customFormat="1" ht="15">
      <c r="A183" s="132" t="s">
        <v>35</v>
      </c>
      <c r="B183" s="133">
        <f>IF(WeightFormat="Yes",ROUND(($C168*F168)/Rounding,0)*Rounding,ROUND((($C168*F168)-BarWeight)/2/Rounding,0)*Rounding)</f>
        <v>615</v>
      </c>
      <c r="C183" s="133">
        <f>IF(WeightFormat="Yes",ROUND(($C168*G168)/Rounding,0)*Rounding,ROUND((($C168*G168)-BarWeight)/2/Rounding,0)*Rounding)</f>
        <v>660</v>
      </c>
      <c r="D183" s="133">
        <f>IF(WeightFormat="Yes",ROUND(($C168*H168)/Rounding,0)*Rounding,ROUND((($C168*H168)-BarWeight)/2/Rounding,0)*Rounding)</f>
        <v>700</v>
      </c>
      <c r="E183" s="133">
        <f>IF(WeightFormat="Yes",ROUND(($C168*I168)/Rounding,0)*Rounding,ROUND((($C168*I168)-BarWeight)/2/Rounding,0)*Rounding)</f>
        <v>410</v>
      </c>
      <c r="F183" s="66"/>
      <c r="G183" s="66"/>
      <c r="H183" s="66"/>
      <c r="I183" s="56"/>
      <c r="K183" s="56"/>
      <c r="L183" s="56"/>
    </row>
    <row r="184" spans="1:12" s="137" customFormat="1" ht="15">
      <c r="A184" s="135" t="s">
        <v>36</v>
      </c>
      <c r="B184" s="136">
        <f>IF(WeightFormat="Yes",ROUND(($C168*F169)/Rounding,0)*Rounding,ROUND((($C168*F169)-BarWeight)/2/Rounding,0)*Rounding)</f>
        <v>700</v>
      </c>
      <c r="C184" s="136">
        <f>IF(WeightFormat="Yes",ROUND(($C168*G169)/Rounding,0)*Rounding,ROUND((($C168*G169)-BarWeight)/2/Rounding,0)*Rounding)</f>
        <v>740</v>
      </c>
      <c r="D184" s="136">
        <f>IF(WeightFormat="Yes",ROUND(($C168*H169)/Rounding,0)*Rounding,ROUND((($C168*H169)-BarWeight)/2/Rounding,0)*Rounding)</f>
        <v>780</v>
      </c>
      <c r="E184" s="136">
        <f>IF(WeightFormat="Yes",ROUND(($C168*I169)/Rounding,0)*Rounding,ROUND((($C168*I169)-BarWeight)/2/Rounding,0)*Rounding)</f>
        <v>495</v>
      </c>
      <c r="F184" s="57"/>
      <c r="G184" s="58">
        <f>IF(OR(ISERROR(F185),ISERROR(G185)),0,(G185-F185)/F185)</f>
        <v>0</v>
      </c>
      <c r="H184" s="58">
        <f>IF(OR(ISERROR(G185),ISERROR(H185)),0,(H185-G185)/G185)</f>
        <v>0</v>
      </c>
      <c r="I184" s="59"/>
      <c r="K184" s="59"/>
      <c r="L184" s="59"/>
    </row>
    <row r="185" spans="1:12" s="149" customFormat="1" ht="15.75" thickBot="1">
      <c r="A185" s="148" t="s">
        <v>37</v>
      </c>
      <c r="B185" s="96"/>
      <c r="C185" s="96"/>
      <c r="D185" s="96"/>
      <c r="E185" s="96" t="s">
        <v>15</v>
      </c>
      <c r="F185" s="73" t="e">
        <f>IF(B185=0,NA(),IF(WeightFormat="No",((B184*2)+BarWeight)/(1.0278-(0.0278*B185)),B184/(1.0278-(0.0278*B185))))</f>
        <v>#N/A</v>
      </c>
      <c r="G185" s="73" t="e">
        <f>IF(C185=0,NA(),IF(WeightFormat="No",((C184*2)+BarWeight)/(1.0278-(0.0278*C185)),C184/(1.0278-(0.0278*C185))))</f>
        <v>#N/A</v>
      </c>
      <c r="H185" s="73" t="e">
        <f>IF(D185=0,NA(),IF(WeightFormat="No",((D184*2)+BarWeight)/(1.0278-(0.0278*D185)),D184/(1.0278-(0.0278*D185))))</f>
        <v>#N/A</v>
      </c>
      <c r="I185" s="85"/>
      <c r="K185" s="100" t="str">
        <f>K158</f>
        <v>5 x 8</v>
      </c>
      <c r="L185" s="100" t="str">
        <f>L158</f>
        <v>3 x 8</v>
      </c>
    </row>
    <row r="186" spans="1:12" s="152" customFormat="1" ht="15">
      <c r="A186" s="150" t="str">
        <f>A169</f>
        <v>Shoulder Press</v>
      </c>
      <c r="B186" s="151">
        <f>B159+28</f>
        <v>40725</v>
      </c>
      <c r="C186" s="151">
        <f>B186+7</f>
        <v>40732</v>
      </c>
      <c r="D186" s="151">
        <f>C186+7</f>
        <v>40739</v>
      </c>
      <c r="E186" s="151">
        <f>D186+7</f>
        <v>40746</v>
      </c>
      <c r="F186" s="75"/>
      <c r="G186" s="75"/>
      <c r="H186" s="75"/>
      <c r="I186" s="86"/>
      <c r="K186" s="86"/>
      <c r="L186" s="86"/>
    </row>
    <row r="187" spans="1:12" ht="15">
      <c r="A187" s="131" t="s">
        <v>34</v>
      </c>
      <c r="B187" s="93">
        <f>IF(WeightFormat="Yes",ROUND(($C169*F167)/Rounding,0)*Rounding,ROUND((($C169*F167)-BarWeight)/2/Rounding,0)*Rounding)</f>
        <v>270</v>
      </c>
      <c r="C187" s="93">
        <f>IF(WeightFormat="Yes",ROUND(($C169*G167)/Rounding,0)*Rounding,ROUND((($C169*G167)-BarWeight)/2/Rounding,0)*Rounding)</f>
        <v>290</v>
      </c>
      <c r="D187" s="93">
        <f>IF(WeightFormat="Yes",ROUND(($C169*H167)/Rounding,0)*Rounding,ROUND((($C169*H167)-BarWeight)/2/Rounding,0)*Rounding)</f>
        <v>310</v>
      </c>
      <c r="E187" s="93">
        <f>IF(WeightFormat="Yes",ROUND(($C169*I167)/Rounding,0)*Rounding,ROUND((($C169*I167)-BarWeight)/2/Rounding,0)*Rounding)</f>
        <v>165</v>
      </c>
      <c r="F187" s="64"/>
      <c r="G187" s="64"/>
      <c r="H187" s="64"/>
      <c r="K187" s="92">
        <f>IF(WeightFormat="Yes",ROUND((C169*BBBPercentage)/Rounding,0)*Rounding,ROUND((($C169*BBBPercentage)-BarWeight)/2/Rounding,0)*Rounding)</f>
        <v>205</v>
      </c>
      <c r="L187" s="93">
        <f>K187</f>
        <v>205</v>
      </c>
    </row>
    <row r="188" spans="1:12" s="134" customFormat="1" ht="15">
      <c r="A188" s="132" t="s">
        <v>35</v>
      </c>
      <c r="B188" s="133">
        <f>IF(WeightFormat="Yes",ROUND(($C169*F168)/Rounding,0)*Rounding,ROUND((($C169*F168)-BarWeight)/2/Rounding,0)*Rounding)</f>
        <v>310</v>
      </c>
      <c r="C188" s="133">
        <f>IF(WeightFormat="Yes",ROUND(($C169*G168)/Rounding,0)*Rounding,ROUND((($C169*G168)-BarWeight)/2/Rounding,0)*Rounding)</f>
        <v>330</v>
      </c>
      <c r="D188" s="133">
        <f>IF(WeightFormat="Yes",ROUND(($C169*H168)/Rounding,0)*Rounding,ROUND((($C169*H168)-BarWeight)/2/Rounding,0)*Rounding)</f>
        <v>350</v>
      </c>
      <c r="E188" s="133">
        <f>IF(WeightFormat="Yes",ROUND(($C169*I168)/Rounding,0)*Rounding,ROUND((($C169*I168)-BarWeight)/2/Rounding,0)*Rounding)</f>
        <v>205</v>
      </c>
      <c r="F188" s="66"/>
      <c r="G188" s="66"/>
      <c r="H188" s="66"/>
      <c r="I188" s="56"/>
      <c r="K188" s="56"/>
      <c r="L188" s="56"/>
    </row>
    <row r="189" spans="1:12" s="137" customFormat="1" ht="15">
      <c r="A189" s="135" t="s">
        <v>36</v>
      </c>
      <c r="B189" s="93">
        <f>IF(WeightFormat="Yes",ROUND(($C169*F169)/Rounding,0)*Rounding,ROUND((($C169*F169)-BarWeight)/2/Rounding,0)*Rounding)</f>
        <v>350</v>
      </c>
      <c r="C189" s="93">
        <f>IF(WeightFormat="Yes",ROUND(($C169*G169)/Rounding,0)*Rounding,ROUND((($C169*G169)-BarWeight)/2/Rounding,0)*Rounding)</f>
        <v>370</v>
      </c>
      <c r="D189" s="93">
        <f>IF(WeightFormat="Yes",ROUND(($C169*H169)/Rounding,0)*Rounding,ROUND((($C169*H169)-BarWeight)/2/Rounding,0)*Rounding)</f>
        <v>390</v>
      </c>
      <c r="E189" s="93">
        <f>IF(WeightFormat="Yes",ROUND(($C169*I169)/Rounding,0)*Rounding,ROUND((($C169*I169)-BarWeight)/2/Rounding,0)*Rounding)</f>
        <v>245</v>
      </c>
      <c r="F189" s="57"/>
      <c r="G189" s="58">
        <f>IF(OR(ISERROR(F190),ISERROR(G190)),0,(G190-F190)/F190)</f>
        <v>0</v>
      </c>
      <c r="H189" s="58">
        <f>IF(OR(ISERROR(G190),ISERROR(H190)),0,(H190-G190)/G190)</f>
        <v>0</v>
      </c>
      <c r="I189" s="59"/>
      <c r="K189" s="59"/>
      <c r="L189" s="59"/>
    </row>
    <row r="190" spans="1:12" s="154" customFormat="1" ht="15.75" thickBot="1">
      <c r="A190" s="153" t="s">
        <v>37</v>
      </c>
      <c r="B190" s="97"/>
      <c r="C190" s="97"/>
      <c r="D190" s="97"/>
      <c r="E190" s="97" t="s">
        <v>15</v>
      </c>
      <c r="F190" s="77" t="e">
        <f>IF(B190=0,NA(),IF(WeightFormat="No",((B189*2)+BarWeight)/(1.0278-(0.0278*B190)),B189/(1.0278-(0.0278*B190))))</f>
        <v>#N/A</v>
      </c>
      <c r="G190" s="77" t="e">
        <f>IF(C190=0,NA(),IF(WeightFormat="No",((C189*2)+BarWeight)/(1.0278-(0.0278*C190)),C189/(1.0278-(0.0278*C190))))</f>
        <v>#N/A</v>
      </c>
      <c r="H190" s="77" t="e">
        <f>IF(D190=0,NA(),IF(WeightFormat="No",((D189*2)+BarWeight)/(1.0278-(0.0278*D190)),D189/(1.0278-(0.0278*D190))))</f>
        <v>#N/A</v>
      </c>
      <c r="I190" s="87"/>
      <c r="K190" s="101" t="str">
        <f>K163</f>
        <v>5 x 10</v>
      </c>
      <c r="L190" s="101" t="str">
        <f>L163</f>
        <v>3 x 10</v>
      </c>
    </row>
    <row r="191" spans="1:12" s="116" customFormat="1" ht="19.5" thickBot="1">
      <c r="A191" s="115" t="s">
        <v>45</v>
      </c>
      <c r="B191" s="206" t="str">
        <f>TEXT(B198,"dd mmm")&amp;" to "&amp;TEXT(E213,"dd mmm yyyy")</f>
        <v>25 Jul to 19 Aug 2011</v>
      </c>
      <c r="C191" s="207"/>
      <c r="D191" s="207"/>
      <c r="E191" s="207"/>
      <c r="F191" s="207"/>
      <c r="G191" s="207"/>
      <c r="H191" s="207"/>
      <c r="I191" s="208"/>
      <c r="K191" s="88"/>
      <c r="L191" s="88"/>
    </row>
    <row r="192" spans="1:12" s="119" customFormat="1" ht="15">
      <c r="A192" s="117" t="s">
        <v>5</v>
      </c>
      <c r="B192" s="118" t="s">
        <v>0</v>
      </c>
      <c r="C192" s="79">
        <v>0.9</v>
      </c>
      <c r="D192" s="209"/>
      <c r="E192" s="210"/>
      <c r="F192" s="215" t="s">
        <v>14</v>
      </c>
      <c r="G192" s="215"/>
      <c r="H192" s="215"/>
      <c r="I192" s="215"/>
      <c r="K192" s="89"/>
      <c r="L192" s="89"/>
    </row>
    <row r="193" spans="1:12" s="122" customFormat="1" ht="15">
      <c r="A193" s="90" t="str">
        <f>ExOne</f>
        <v>Squat</v>
      </c>
      <c r="B193" s="120">
        <f>B166+(IncrOne/C192)</f>
        <v>1136.7777777777776</v>
      </c>
      <c r="C193" s="121">
        <f>B193*$C$3</f>
        <v>1023.0999999999999</v>
      </c>
      <c r="D193" s="211"/>
      <c r="E193" s="212"/>
      <c r="F193" s="42" t="s">
        <v>6</v>
      </c>
      <c r="G193" s="43" t="s">
        <v>7</v>
      </c>
      <c r="H193" s="43" t="s">
        <v>12</v>
      </c>
      <c r="I193" s="44" t="s">
        <v>13</v>
      </c>
      <c r="K193" s="90"/>
      <c r="L193" s="90"/>
    </row>
    <row r="194" spans="1:12" s="122" customFormat="1" ht="15">
      <c r="A194" s="90" t="str">
        <f>ExTwo</f>
        <v>Bench Press</v>
      </c>
      <c r="B194" s="120">
        <f>B167+(IncrTwo/C192)</f>
        <v>567.8888888888888</v>
      </c>
      <c r="C194" s="121">
        <f>B194*$C$3</f>
        <v>511.0999999999999</v>
      </c>
      <c r="D194" s="211"/>
      <c r="E194" s="212"/>
      <c r="F194" s="45">
        <v>0.65</v>
      </c>
      <c r="G194" s="45">
        <v>0.7</v>
      </c>
      <c r="H194" s="45">
        <v>0.75</v>
      </c>
      <c r="I194" s="46">
        <v>0.4</v>
      </c>
      <c r="K194" s="90"/>
      <c r="L194" s="90"/>
    </row>
    <row r="195" spans="1:12" s="122" customFormat="1" ht="15">
      <c r="A195" s="90" t="str">
        <f>ExThree</f>
        <v>Deadlift</v>
      </c>
      <c r="B195" s="120">
        <f>B168+(IncrThree/C192)</f>
        <v>924.7777777777776</v>
      </c>
      <c r="C195" s="121">
        <f>B195*$C$3</f>
        <v>832.2999999999998</v>
      </c>
      <c r="D195" s="211"/>
      <c r="E195" s="212"/>
      <c r="F195" s="45">
        <v>0.75</v>
      </c>
      <c r="G195" s="45">
        <v>0.8</v>
      </c>
      <c r="H195" s="45">
        <v>0.85</v>
      </c>
      <c r="I195" s="46">
        <v>0.5</v>
      </c>
      <c r="K195" s="90"/>
      <c r="L195" s="90"/>
    </row>
    <row r="196" spans="1:12" s="119" customFormat="1" ht="15">
      <c r="A196" s="89" t="str">
        <f>ExFour</f>
        <v>Shoulder Press</v>
      </c>
      <c r="B196" s="155">
        <f>B169+(IncrFour/C192)</f>
        <v>462.8888888888888</v>
      </c>
      <c r="C196" s="123">
        <f>B196*$C$3</f>
        <v>416.5999999999999</v>
      </c>
      <c r="D196" s="213"/>
      <c r="E196" s="214"/>
      <c r="F196" s="45">
        <v>0.85</v>
      </c>
      <c r="G196" s="45">
        <v>0.9</v>
      </c>
      <c r="H196" s="45">
        <v>0.95</v>
      </c>
      <c r="I196" s="46">
        <v>0.6</v>
      </c>
      <c r="K196" s="89"/>
      <c r="L196" s="89"/>
    </row>
    <row r="197" spans="1:12" s="126" customFormat="1" ht="15.75" thickBot="1">
      <c r="A197" s="124" t="s">
        <v>5</v>
      </c>
      <c r="B197" s="125"/>
      <c r="C197" s="125"/>
      <c r="D197" s="125"/>
      <c r="E197" s="125"/>
      <c r="F197" s="47"/>
      <c r="G197" s="47"/>
      <c r="H197" s="47"/>
      <c r="I197" s="48"/>
      <c r="K197" s="48"/>
      <c r="L197" s="48"/>
    </row>
    <row r="198" spans="1:12" s="130" customFormat="1" ht="15">
      <c r="A198" s="127" t="str">
        <f>A193</f>
        <v>Squat</v>
      </c>
      <c r="B198" s="128">
        <f>B171+28</f>
        <v>40749</v>
      </c>
      <c r="C198" s="129">
        <f>B198+7</f>
        <v>40756</v>
      </c>
      <c r="D198" s="129">
        <f>C198+7</f>
        <v>40763</v>
      </c>
      <c r="E198" s="129">
        <f>D198+7</f>
        <v>40770</v>
      </c>
      <c r="F198" s="49"/>
      <c r="G198" s="49"/>
      <c r="H198" s="49"/>
      <c r="I198" s="80"/>
      <c r="K198" s="91" t="s">
        <v>55</v>
      </c>
      <c r="L198" s="91" t="s">
        <v>13</v>
      </c>
    </row>
    <row r="199" spans="1:12" ht="15">
      <c r="A199" s="131" t="s">
        <v>34</v>
      </c>
      <c r="B199" s="93">
        <f>IF(WeightFormat="Yes",ROUND(($C193*F194)/Rounding,0)*Rounding,ROUND((($C193*F194)-BarWeight)/2/Rounding,0)*Rounding)</f>
        <v>665</v>
      </c>
      <c r="C199" s="93">
        <f>IF(WeightFormat="Yes",ROUND(($C193*G194)/Rounding,0)*Rounding,ROUND((($C193*G194)-BarWeight)/2/Rounding,0)*Rounding)</f>
        <v>715</v>
      </c>
      <c r="D199" s="93">
        <f>IF(WeightFormat="Yes",ROUND(($C193*H194)/Rounding,0)*Rounding,ROUND((($C193*H194)-BarWeight)/2/Rounding,0)*Rounding)</f>
        <v>765</v>
      </c>
      <c r="E199" s="93">
        <f>IF(WeightFormat="Yes",ROUND(($C193*I194)/Rounding,0)*Rounding,ROUND((($C193*I194)-BarWeight)/2/Rounding,0)*Rounding)</f>
        <v>410</v>
      </c>
      <c r="F199" s="51"/>
      <c r="K199" s="92">
        <f>IF(WeightFormat="Yes",ROUND((C193*BBBPercentage)/Rounding,0)*Rounding,ROUND((($C193*BBBPercentage)-BarWeight)/2/Rounding,0)*Rounding)</f>
        <v>510</v>
      </c>
      <c r="L199" s="93">
        <f>K199</f>
        <v>510</v>
      </c>
    </row>
    <row r="200" spans="1:12" s="134" customFormat="1" ht="15">
      <c r="A200" s="132" t="s">
        <v>35</v>
      </c>
      <c r="B200" s="133">
        <f>IF(WeightFormat="Yes",ROUND(($C193*F195)/Rounding,0)*Rounding,ROUND((($C193*F195)-BarWeight)/2/Rounding,0)*Rounding)</f>
        <v>765</v>
      </c>
      <c r="C200" s="133">
        <f>IF(WeightFormat="Yes",ROUND(($C193*G195)/Rounding,0)*Rounding,ROUND((($C193*G195)-BarWeight)/2/Rounding,0)*Rounding)</f>
        <v>820</v>
      </c>
      <c r="D200" s="133">
        <f>IF(WeightFormat="Yes",ROUND(($C193*H195)/Rounding,0)*Rounding,ROUND((($C193*H195)-BarWeight)/2/Rounding,0)*Rounding)</f>
        <v>870</v>
      </c>
      <c r="E200" s="133">
        <f>IF(WeightFormat="Yes",ROUND(($C193*I195)/Rounding,0)*Rounding,ROUND((($C193*I195)-BarWeight)/2/Rounding,0)*Rounding)</f>
        <v>510</v>
      </c>
      <c r="F200" s="54"/>
      <c r="G200" s="55"/>
      <c r="H200" s="55"/>
      <c r="I200" s="56"/>
      <c r="K200" s="56"/>
      <c r="L200" s="56"/>
    </row>
    <row r="201" spans="1:12" s="137" customFormat="1" ht="15">
      <c r="A201" s="135" t="s">
        <v>36</v>
      </c>
      <c r="B201" s="136">
        <f>IF(WeightFormat="Yes",ROUND(($C193*F196)/Rounding,0)*Rounding,ROUND((($C193*F196)-BarWeight)/2/Rounding,0)*Rounding)</f>
        <v>870</v>
      </c>
      <c r="C201" s="136">
        <f>IF(WeightFormat="Yes",ROUND(($C193*G196)/Rounding,0)*Rounding,ROUND((($C193*G196)-BarWeight)/2/Rounding,0)*Rounding)</f>
        <v>920</v>
      </c>
      <c r="D201" s="136">
        <f>IF(WeightFormat="Yes",ROUND(($C193*H196)/Rounding,0)*Rounding,ROUND((($C193*H196)-BarWeight)/2/Rounding,0)*Rounding)</f>
        <v>970</v>
      </c>
      <c r="E201" s="136">
        <f>IF(WeightFormat="Yes",ROUND(($C193*I196)/Rounding,0)*Rounding,ROUND((($C193*I196)-BarWeight)/2/Rounding,0)*Rounding)</f>
        <v>615</v>
      </c>
      <c r="F201" s="57"/>
      <c r="G201" s="58">
        <f>IF(OR(ISERROR(F202),ISERROR(G202)),0,(G202-F202)/F202)</f>
        <v>0</v>
      </c>
      <c r="H201" s="58">
        <f>IF(OR(ISERROR(G202),ISERROR(H202)),0,(H202-G202)/G202)</f>
        <v>0</v>
      </c>
      <c r="I201" s="59"/>
      <c r="K201" s="59"/>
      <c r="L201" s="59"/>
    </row>
    <row r="202" spans="1:12" s="139" customFormat="1" ht="15.75" thickBot="1">
      <c r="A202" s="138" t="s">
        <v>37</v>
      </c>
      <c r="B202" s="94"/>
      <c r="C202" s="94"/>
      <c r="D202" s="94"/>
      <c r="E202" s="94" t="s">
        <v>15</v>
      </c>
      <c r="F202" s="60" t="e">
        <f>IF(B202=0,NA(),IF(WeightFormat="No",((B201*2)+BarWeight)/(1.0278-(0.0278*B202)),B201/(1.0278-(0.0278*B202))))</f>
        <v>#N/A</v>
      </c>
      <c r="G202" s="60" t="e">
        <f>IF(C202=0,NA(),IF(WeightFormat="No",((C201*2)+BarWeight)/(1.0278-(0.0278*C202)),C201/(1.0278-(0.0278*C202))))</f>
        <v>#N/A</v>
      </c>
      <c r="H202" s="60" t="e">
        <f>IF(D202=0,NA(),IF(WeightFormat="No",((D201*2)+BarWeight)/(1.0278-(0.0278*D202)),D201/(1.0278-(0.0278*D202))))</f>
        <v>#N/A</v>
      </c>
      <c r="I202" s="81"/>
      <c r="K202" s="98" t="str">
        <f>K175</f>
        <v>5 x 10</v>
      </c>
      <c r="L202" s="98" t="str">
        <f>L175</f>
        <v>3 x 10</v>
      </c>
    </row>
    <row r="203" spans="1:12" s="142" customFormat="1" ht="15">
      <c r="A203" s="140" t="str">
        <f>A194</f>
        <v>Bench Press</v>
      </c>
      <c r="B203" s="141">
        <f>B176+28</f>
        <v>40751</v>
      </c>
      <c r="C203" s="141">
        <f>B203+7</f>
        <v>40758</v>
      </c>
      <c r="D203" s="141">
        <f>C203+7</f>
        <v>40765</v>
      </c>
      <c r="E203" s="141">
        <f>D203+7</f>
        <v>40772</v>
      </c>
      <c r="F203" s="62"/>
      <c r="G203" s="62"/>
      <c r="H203" s="62"/>
      <c r="I203" s="82"/>
      <c r="K203" s="82"/>
      <c r="L203" s="82"/>
    </row>
    <row r="204" spans="1:12" ht="15">
      <c r="A204" s="131" t="s">
        <v>34</v>
      </c>
      <c r="B204" s="93">
        <f>IF(WeightFormat="Yes",ROUND(($C194*F194)/Rounding,0)*Rounding,ROUND((($C194*F194)-BarWeight)/2/Rounding,0)*Rounding)</f>
        <v>330</v>
      </c>
      <c r="C204" s="93">
        <f>IF(WeightFormat="Yes",ROUND(($C194*G194)/Rounding,0)*Rounding,ROUND((($C194*G194)-BarWeight)/2/Rounding,0)*Rounding)</f>
        <v>360</v>
      </c>
      <c r="D204" s="93">
        <f>IF(WeightFormat="Yes",ROUND(($C194*H194)/Rounding,0)*Rounding,ROUND((($C194*H194)-BarWeight)/2/Rounding,0)*Rounding)</f>
        <v>385</v>
      </c>
      <c r="E204" s="93">
        <f>IF(WeightFormat="Yes",ROUND(($C194*I194)/Rounding,0)*Rounding,ROUND((($C194*I194)-BarWeight)/2/Rounding,0)*Rounding)</f>
        <v>205</v>
      </c>
      <c r="F204" s="64"/>
      <c r="G204" s="64"/>
      <c r="H204" s="64"/>
      <c r="K204" s="92">
        <f>IF(WeightFormat="Yes",ROUND((C194*BBBPercentage)/Rounding,0)*Rounding,ROUND((($C194*BBBPercentage)-BarWeight)/2/Rounding,0)*Rounding)</f>
        <v>255</v>
      </c>
      <c r="L204" s="93">
        <f>K204</f>
        <v>255</v>
      </c>
    </row>
    <row r="205" spans="1:12" s="134" customFormat="1" ht="15">
      <c r="A205" s="132" t="s">
        <v>35</v>
      </c>
      <c r="B205" s="133">
        <f>IF(WeightFormat="Yes",ROUND(($C194*F195)/Rounding,0)*Rounding,ROUND((($C194*F195)-BarWeight)/2/Rounding,0)*Rounding)</f>
        <v>385</v>
      </c>
      <c r="C205" s="133">
        <f>IF(WeightFormat="Yes",ROUND(($C194*G195)/Rounding,0)*Rounding,ROUND((($C194*G195)-BarWeight)/2/Rounding,0)*Rounding)</f>
        <v>410</v>
      </c>
      <c r="D205" s="133">
        <f>IF(WeightFormat="Yes",ROUND(($C194*H195)/Rounding,0)*Rounding,ROUND((($C194*H195)-BarWeight)/2/Rounding,0)*Rounding)</f>
        <v>435</v>
      </c>
      <c r="E205" s="133">
        <f>IF(WeightFormat="Yes",ROUND(($C194*I195)/Rounding,0)*Rounding,ROUND((($C194*I195)-BarWeight)/2/Rounding,0)*Rounding)</f>
        <v>255</v>
      </c>
      <c r="F205" s="66"/>
      <c r="G205" s="66"/>
      <c r="H205" s="66"/>
      <c r="I205" s="56"/>
      <c r="K205" s="56"/>
      <c r="L205" s="56"/>
    </row>
    <row r="206" spans="1:12" s="137" customFormat="1" ht="15">
      <c r="A206" s="135" t="s">
        <v>36</v>
      </c>
      <c r="B206" s="136">
        <f>IF(WeightFormat="Yes",ROUND(($C194*F196)/Rounding,0)*Rounding,ROUND((($C194*F196)-BarWeight)/2/Rounding,0)*Rounding)</f>
        <v>435</v>
      </c>
      <c r="C206" s="136">
        <f>IF(WeightFormat="Yes",ROUND(($C194*G196)/Rounding,0)*Rounding,ROUND((($C194*G196)-BarWeight)/2/Rounding,0)*Rounding)</f>
        <v>460</v>
      </c>
      <c r="D206" s="136">
        <f>IF(WeightFormat="Yes",ROUND(($C194*H196)/Rounding,0)*Rounding,ROUND((($C194*H196)-BarWeight)/2/Rounding,0)*Rounding)</f>
        <v>485</v>
      </c>
      <c r="E206" s="136">
        <f>IF(WeightFormat="Yes",ROUND(($C194*I196)/Rounding,0)*Rounding,ROUND((($C194*I196)-BarWeight)/2/Rounding,0)*Rounding)</f>
        <v>305</v>
      </c>
      <c r="F206" s="57"/>
      <c r="G206" s="58">
        <f>IF(OR(ISERROR(F207),ISERROR(G207)),0,(G207-F207)/F207)</f>
        <v>0</v>
      </c>
      <c r="H206" s="58">
        <f>IF(OR(ISERROR(G207),ISERROR(H207)),0,(H207-G207)/G207)</f>
        <v>0</v>
      </c>
      <c r="I206" s="59"/>
      <c r="K206" s="59"/>
      <c r="L206" s="59"/>
    </row>
    <row r="207" spans="1:12" s="144" customFormat="1" ht="15.75" thickBot="1">
      <c r="A207" s="143" t="s">
        <v>37</v>
      </c>
      <c r="B207" s="95"/>
      <c r="C207" s="95"/>
      <c r="D207" s="95"/>
      <c r="E207" s="95" t="s">
        <v>15</v>
      </c>
      <c r="F207" s="69" t="e">
        <f>IF(B207=0,NA(),IF(WeightFormat="No",((B206*2)+BarWeight)/(1.0278-(0.0278*B207)),B206/(1.0278-(0.0278*B207))))</f>
        <v>#N/A</v>
      </c>
      <c r="G207" s="69" t="e">
        <f>IF(C207=0,NA(),IF(WeightFormat="No",((C206*2)+BarWeight)/(1.0278-(0.0278*C207)),C206/(1.0278-(0.0278*C207))))</f>
        <v>#N/A</v>
      </c>
      <c r="H207" s="69" t="e">
        <f>IF(D207=0,NA(),IF(WeightFormat="No",((D206*2)+BarWeight)/(1.0278-(0.0278*D207)),D206/(1.0278-(0.0278*D207))))</f>
        <v>#N/A</v>
      </c>
      <c r="I207" s="83"/>
      <c r="K207" s="99" t="str">
        <f>K180</f>
        <v>5 x 10</v>
      </c>
      <c r="L207" s="99" t="str">
        <f>L180</f>
        <v>3 x 10</v>
      </c>
    </row>
    <row r="208" spans="1:12" s="147" customFormat="1" ht="15">
      <c r="A208" s="145" t="str">
        <f>A195</f>
        <v>Deadlift</v>
      </c>
      <c r="B208" s="146">
        <f>B181+28</f>
        <v>40752</v>
      </c>
      <c r="C208" s="146">
        <f>B208+7</f>
        <v>40759</v>
      </c>
      <c r="D208" s="146">
        <f>C208+7</f>
        <v>40766</v>
      </c>
      <c r="E208" s="146">
        <f>D208+7</f>
        <v>40773</v>
      </c>
      <c r="F208" s="71"/>
      <c r="G208" s="71"/>
      <c r="H208" s="71"/>
      <c r="I208" s="84"/>
      <c r="K208" s="84"/>
      <c r="L208" s="84"/>
    </row>
    <row r="209" spans="1:12" ht="15">
      <c r="A209" s="131" t="s">
        <v>34</v>
      </c>
      <c r="B209" s="93">
        <f>IF(WeightFormat="Yes",ROUND(($C195*F194)/Rounding,0)*Rounding,ROUND((($C195*F194)-BarWeight)/2/Rounding,0)*Rounding)</f>
        <v>540</v>
      </c>
      <c r="C209" s="93">
        <f>IF(WeightFormat="Yes",ROUND(($C195*G194)/Rounding,0)*Rounding,ROUND((($C195*G194)-BarWeight)/2/Rounding,0)*Rounding)</f>
        <v>585</v>
      </c>
      <c r="D209" s="93">
        <f>IF(WeightFormat="Yes",ROUND(($C195*H194)/Rounding,0)*Rounding,ROUND((($C195*H194)-BarWeight)/2/Rounding,0)*Rounding)</f>
        <v>625</v>
      </c>
      <c r="E209" s="93">
        <f>IF(WeightFormat="Yes",ROUND(($C195*I194)/Rounding,0)*Rounding,ROUND((($C195*I194)-BarWeight)/2/Rounding,0)*Rounding)</f>
        <v>335</v>
      </c>
      <c r="F209" s="64"/>
      <c r="G209" s="64"/>
      <c r="H209" s="64"/>
      <c r="K209" s="92">
        <f>IF(WeightFormat="Yes",ROUND((C195*BBBPercentage)/Rounding,0)*Rounding,ROUND((($C195*BBBPercentage)-BarWeight)/2/Rounding,0)*Rounding)</f>
        <v>415</v>
      </c>
      <c r="L209" s="93">
        <f>K209</f>
        <v>415</v>
      </c>
    </row>
    <row r="210" spans="1:12" s="134" customFormat="1" ht="15">
      <c r="A210" s="132" t="s">
        <v>35</v>
      </c>
      <c r="B210" s="133">
        <f>IF(WeightFormat="Yes",ROUND(($C195*F195)/Rounding,0)*Rounding,ROUND((($C195*F195)-BarWeight)/2/Rounding,0)*Rounding)</f>
        <v>625</v>
      </c>
      <c r="C210" s="133">
        <f>IF(WeightFormat="Yes",ROUND(($C195*G195)/Rounding,0)*Rounding,ROUND((($C195*G195)-BarWeight)/2/Rounding,0)*Rounding)</f>
        <v>665</v>
      </c>
      <c r="D210" s="133">
        <f>IF(WeightFormat="Yes",ROUND(($C195*H195)/Rounding,0)*Rounding,ROUND((($C195*H195)-BarWeight)/2/Rounding,0)*Rounding)</f>
        <v>705</v>
      </c>
      <c r="E210" s="133">
        <f>IF(WeightFormat="Yes",ROUND(($C195*I195)/Rounding,0)*Rounding,ROUND((($C195*I195)-BarWeight)/2/Rounding,0)*Rounding)</f>
        <v>415</v>
      </c>
      <c r="F210" s="66"/>
      <c r="G210" s="66"/>
      <c r="H210" s="66"/>
      <c r="I210" s="56"/>
      <c r="K210" s="56"/>
      <c r="L210" s="56"/>
    </row>
    <row r="211" spans="1:12" s="137" customFormat="1" ht="15">
      <c r="A211" s="135" t="s">
        <v>36</v>
      </c>
      <c r="B211" s="136">
        <f>IF(WeightFormat="Yes",ROUND(($C195*F196)/Rounding,0)*Rounding,ROUND((($C195*F196)-BarWeight)/2/Rounding,0)*Rounding)</f>
        <v>705</v>
      </c>
      <c r="C211" s="136">
        <f>IF(WeightFormat="Yes",ROUND(($C195*G196)/Rounding,0)*Rounding,ROUND((($C195*G196)-BarWeight)/2/Rounding,0)*Rounding)</f>
        <v>750</v>
      </c>
      <c r="D211" s="136">
        <f>IF(WeightFormat="Yes",ROUND(($C195*H196)/Rounding,0)*Rounding,ROUND((($C195*H196)-BarWeight)/2/Rounding,0)*Rounding)</f>
        <v>790</v>
      </c>
      <c r="E211" s="136">
        <f>IF(WeightFormat="Yes",ROUND(($C195*I196)/Rounding,0)*Rounding,ROUND((($C195*I196)-BarWeight)/2/Rounding,0)*Rounding)</f>
        <v>500</v>
      </c>
      <c r="F211" s="57"/>
      <c r="G211" s="58">
        <f>IF(OR(ISERROR(F212),ISERROR(G212)),0,(G212-F212)/F212)</f>
        <v>0</v>
      </c>
      <c r="H211" s="58">
        <f>IF(OR(ISERROR(G212),ISERROR(H212)),0,(H212-G212)/G212)</f>
        <v>0</v>
      </c>
      <c r="I211" s="59"/>
      <c r="K211" s="59"/>
      <c r="L211" s="59"/>
    </row>
    <row r="212" spans="1:12" s="149" customFormat="1" ht="15.75" thickBot="1">
      <c r="A212" s="148" t="s">
        <v>37</v>
      </c>
      <c r="B212" s="96"/>
      <c r="C212" s="96"/>
      <c r="D212" s="96"/>
      <c r="E212" s="96" t="s">
        <v>15</v>
      </c>
      <c r="F212" s="73" t="e">
        <f>IF(B212=0,NA(),IF(WeightFormat="No",((B211*2)+BarWeight)/(1.0278-(0.0278*B212)),B211/(1.0278-(0.0278*B212))))</f>
        <v>#N/A</v>
      </c>
      <c r="G212" s="73" t="e">
        <f>IF(C212=0,NA(),IF(WeightFormat="No",((C211*2)+BarWeight)/(1.0278-(0.0278*C212)),C211/(1.0278-(0.0278*C212))))</f>
        <v>#N/A</v>
      </c>
      <c r="H212" s="73" t="e">
        <f>IF(D212=0,NA(),IF(WeightFormat="No",((D211*2)+BarWeight)/(1.0278-(0.0278*D212)),D211/(1.0278-(0.0278*D212))))</f>
        <v>#N/A</v>
      </c>
      <c r="I212" s="85"/>
      <c r="K212" s="100" t="str">
        <f>K185</f>
        <v>5 x 8</v>
      </c>
      <c r="L212" s="100" t="str">
        <f>L185</f>
        <v>3 x 8</v>
      </c>
    </row>
    <row r="213" spans="1:12" s="152" customFormat="1" ht="15">
      <c r="A213" s="150" t="str">
        <f>A196</f>
        <v>Shoulder Press</v>
      </c>
      <c r="B213" s="151">
        <f>B186+28</f>
        <v>40753</v>
      </c>
      <c r="C213" s="151">
        <f>B213+7</f>
        <v>40760</v>
      </c>
      <c r="D213" s="151">
        <f>C213+7</f>
        <v>40767</v>
      </c>
      <c r="E213" s="151">
        <f>D213+7</f>
        <v>40774</v>
      </c>
      <c r="F213" s="75"/>
      <c r="G213" s="75"/>
      <c r="H213" s="75"/>
      <c r="I213" s="86"/>
      <c r="K213" s="86"/>
      <c r="L213" s="86"/>
    </row>
    <row r="214" spans="1:12" ht="15">
      <c r="A214" s="131" t="s">
        <v>34</v>
      </c>
      <c r="B214" s="93">
        <f>IF(WeightFormat="Yes",ROUND(($C196*F194)/Rounding,0)*Rounding,ROUND((($C196*F194)-BarWeight)/2/Rounding,0)*Rounding)</f>
        <v>270</v>
      </c>
      <c r="C214" s="93">
        <f>IF(WeightFormat="Yes",ROUND(($C196*G194)/Rounding,0)*Rounding,ROUND((($C196*G194)-BarWeight)/2/Rounding,0)*Rounding)</f>
        <v>290</v>
      </c>
      <c r="D214" s="93">
        <f>IF(WeightFormat="Yes",ROUND(($C196*H194)/Rounding,0)*Rounding,ROUND((($C196*H194)-BarWeight)/2/Rounding,0)*Rounding)</f>
        <v>310</v>
      </c>
      <c r="E214" s="93">
        <f>IF(WeightFormat="Yes",ROUND(($C196*I194)/Rounding,0)*Rounding,ROUND((($C196*I194)-BarWeight)/2/Rounding,0)*Rounding)</f>
        <v>165</v>
      </c>
      <c r="F214" s="64"/>
      <c r="G214" s="64"/>
      <c r="H214" s="64"/>
      <c r="K214" s="92">
        <f>IF(WeightFormat="Yes",ROUND((C196*BBBPercentage)/Rounding,0)*Rounding,ROUND((($C196*BBBPercentage)-BarWeight)/2/Rounding,0)*Rounding)</f>
        <v>210</v>
      </c>
      <c r="L214" s="93">
        <f>K214</f>
        <v>210</v>
      </c>
    </row>
    <row r="215" spans="1:12" s="134" customFormat="1" ht="15">
      <c r="A215" s="132" t="s">
        <v>35</v>
      </c>
      <c r="B215" s="133">
        <f>IF(WeightFormat="Yes",ROUND(($C196*F195)/Rounding,0)*Rounding,ROUND((($C196*F195)-BarWeight)/2/Rounding,0)*Rounding)</f>
        <v>310</v>
      </c>
      <c r="C215" s="133">
        <f>IF(WeightFormat="Yes",ROUND(($C196*G195)/Rounding,0)*Rounding,ROUND((($C196*G195)-BarWeight)/2/Rounding,0)*Rounding)</f>
        <v>335</v>
      </c>
      <c r="D215" s="133">
        <f>IF(WeightFormat="Yes",ROUND(($C196*H195)/Rounding,0)*Rounding,ROUND((($C196*H195)-BarWeight)/2/Rounding,0)*Rounding)</f>
        <v>355</v>
      </c>
      <c r="E215" s="133">
        <f>IF(WeightFormat="Yes",ROUND(($C196*I195)/Rounding,0)*Rounding,ROUND((($C196*I195)-BarWeight)/2/Rounding,0)*Rounding)</f>
        <v>210</v>
      </c>
      <c r="F215" s="66"/>
      <c r="G215" s="66"/>
      <c r="H215" s="66"/>
      <c r="I215" s="56"/>
      <c r="K215" s="56"/>
      <c r="L215" s="56"/>
    </row>
    <row r="216" spans="1:12" s="137" customFormat="1" ht="15">
      <c r="A216" s="135" t="s">
        <v>36</v>
      </c>
      <c r="B216" s="93">
        <f>IF(WeightFormat="Yes",ROUND(($C196*F196)/Rounding,0)*Rounding,ROUND((($C196*F196)-BarWeight)/2/Rounding,0)*Rounding)</f>
        <v>355</v>
      </c>
      <c r="C216" s="93">
        <f>IF(WeightFormat="Yes",ROUND(($C196*G196)/Rounding,0)*Rounding,ROUND((($C196*G196)-BarWeight)/2/Rounding,0)*Rounding)</f>
        <v>375</v>
      </c>
      <c r="D216" s="93">
        <f>IF(WeightFormat="Yes",ROUND(($C196*H196)/Rounding,0)*Rounding,ROUND((($C196*H196)-BarWeight)/2/Rounding,0)*Rounding)</f>
        <v>395</v>
      </c>
      <c r="E216" s="93">
        <f>IF(WeightFormat="Yes",ROUND(($C196*I196)/Rounding,0)*Rounding,ROUND((($C196*I196)-BarWeight)/2/Rounding,0)*Rounding)</f>
        <v>250</v>
      </c>
      <c r="F216" s="57"/>
      <c r="G216" s="58">
        <f>IF(OR(ISERROR(F217),ISERROR(G217)),0,(G217-F217)/F217)</f>
        <v>0</v>
      </c>
      <c r="H216" s="58">
        <f>IF(OR(ISERROR(G217),ISERROR(H217)),0,(H217-G217)/G217)</f>
        <v>0</v>
      </c>
      <c r="I216" s="59"/>
      <c r="K216" s="59"/>
      <c r="L216" s="59"/>
    </row>
    <row r="217" spans="1:12" s="154" customFormat="1" ht="15.75" thickBot="1">
      <c r="A217" s="153" t="s">
        <v>37</v>
      </c>
      <c r="B217" s="97"/>
      <c r="C217" s="97"/>
      <c r="D217" s="97"/>
      <c r="E217" s="97" t="s">
        <v>15</v>
      </c>
      <c r="F217" s="77" t="e">
        <f>IF(B217=0,NA(),IF(WeightFormat="No",((B216*2)+BarWeight)/(1.0278-(0.0278*B217)),B216/(1.0278-(0.0278*B217))))</f>
        <v>#N/A</v>
      </c>
      <c r="G217" s="77" t="e">
        <f>IF(C217=0,NA(),IF(WeightFormat="No",((C216*2)+BarWeight)/(1.0278-(0.0278*C217)),C216/(1.0278-(0.0278*C217))))</f>
        <v>#N/A</v>
      </c>
      <c r="H217" s="77" t="e">
        <f>IF(D217=0,NA(),IF(WeightFormat="No",((D216*2)+BarWeight)/(1.0278-(0.0278*D217)),D216/(1.0278-(0.0278*D217))))</f>
        <v>#N/A</v>
      </c>
      <c r="I217" s="87"/>
      <c r="K217" s="101" t="str">
        <f>K190</f>
        <v>5 x 10</v>
      </c>
      <c r="L217" s="101" t="str">
        <f>L190</f>
        <v>3 x 10</v>
      </c>
    </row>
    <row r="218" spans="1:12" s="116" customFormat="1" ht="19.5" thickBot="1">
      <c r="A218" s="115" t="s">
        <v>46</v>
      </c>
      <c r="B218" s="206" t="str">
        <f>TEXT(B225,"dd mmm")&amp;" to "&amp;TEXT(E240,"dd mmm yyyy")</f>
        <v>22 Aug to 16 Sep 2011</v>
      </c>
      <c r="C218" s="207"/>
      <c r="D218" s="207"/>
      <c r="E218" s="207"/>
      <c r="F218" s="207"/>
      <c r="G218" s="207"/>
      <c r="H218" s="207"/>
      <c r="I218" s="208"/>
      <c r="K218" s="88"/>
      <c r="L218" s="88"/>
    </row>
    <row r="219" spans="1:12" s="119" customFormat="1" ht="15">
      <c r="A219" s="117" t="s">
        <v>5</v>
      </c>
      <c r="B219" s="118" t="s">
        <v>0</v>
      </c>
      <c r="C219" s="79">
        <v>0.9</v>
      </c>
      <c r="D219" s="209"/>
      <c r="E219" s="210"/>
      <c r="F219" s="215" t="s">
        <v>14</v>
      </c>
      <c r="G219" s="215"/>
      <c r="H219" s="215"/>
      <c r="I219" s="215"/>
      <c r="K219" s="89"/>
      <c r="L219" s="89"/>
    </row>
    <row r="220" spans="1:12" s="122" customFormat="1" ht="15">
      <c r="A220" s="90" t="str">
        <f>ExOne</f>
        <v>Squat</v>
      </c>
      <c r="B220" s="120">
        <f>B193+(IncrOne/C219)</f>
        <v>1147.8888888888887</v>
      </c>
      <c r="C220" s="121">
        <f>B220*$C$3</f>
        <v>1033.1</v>
      </c>
      <c r="D220" s="211"/>
      <c r="E220" s="212"/>
      <c r="F220" s="42" t="s">
        <v>6</v>
      </c>
      <c r="G220" s="43" t="s">
        <v>7</v>
      </c>
      <c r="H220" s="43" t="s">
        <v>12</v>
      </c>
      <c r="I220" s="44" t="s">
        <v>13</v>
      </c>
      <c r="K220" s="90"/>
      <c r="L220" s="90"/>
    </row>
    <row r="221" spans="1:12" s="122" customFormat="1" ht="15">
      <c r="A221" s="90" t="str">
        <f>ExTwo</f>
        <v>Bench Press</v>
      </c>
      <c r="B221" s="120">
        <f>B194+(IncrTwo/C219)</f>
        <v>573.4444444444443</v>
      </c>
      <c r="C221" s="121">
        <f>B221*$C$3</f>
        <v>516.0999999999999</v>
      </c>
      <c r="D221" s="211"/>
      <c r="E221" s="212"/>
      <c r="F221" s="45">
        <v>0.65</v>
      </c>
      <c r="G221" s="45">
        <v>0.7</v>
      </c>
      <c r="H221" s="45">
        <v>0.75</v>
      </c>
      <c r="I221" s="46">
        <v>0.4</v>
      </c>
      <c r="K221" s="90"/>
      <c r="L221" s="90"/>
    </row>
    <row r="222" spans="1:12" s="122" customFormat="1" ht="15">
      <c r="A222" s="90" t="str">
        <f>ExThree</f>
        <v>Deadlift</v>
      </c>
      <c r="B222" s="120">
        <f>B195+(IncrThree/C219)</f>
        <v>935.8888888888887</v>
      </c>
      <c r="C222" s="121">
        <f>B222*$C$3</f>
        <v>842.2999999999998</v>
      </c>
      <c r="D222" s="211"/>
      <c r="E222" s="212"/>
      <c r="F222" s="45">
        <v>0.75</v>
      </c>
      <c r="G222" s="45">
        <v>0.8</v>
      </c>
      <c r="H222" s="45">
        <v>0.85</v>
      </c>
      <c r="I222" s="46">
        <v>0.5</v>
      </c>
      <c r="K222" s="90"/>
      <c r="L222" s="90"/>
    </row>
    <row r="223" spans="1:12" s="119" customFormat="1" ht="15">
      <c r="A223" s="89" t="str">
        <f>ExFour</f>
        <v>Shoulder Press</v>
      </c>
      <c r="B223" s="155">
        <f>B196+(IncrFour/C219)</f>
        <v>468.44444444444434</v>
      </c>
      <c r="C223" s="123">
        <f>B223*$C$3</f>
        <v>421.5999999999999</v>
      </c>
      <c r="D223" s="213"/>
      <c r="E223" s="214"/>
      <c r="F223" s="45">
        <v>0.85</v>
      </c>
      <c r="G223" s="45">
        <v>0.9</v>
      </c>
      <c r="H223" s="45">
        <v>0.95</v>
      </c>
      <c r="I223" s="46">
        <v>0.6</v>
      </c>
      <c r="K223" s="89"/>
      <c r="L223" s="89"/>
    </row>
    <row r="224" spans="1:12" s="126" customFormat="1" ht="15.75" thickBot="1">
      <c r="A224" s="124" t="s">
        <v>5</v>
      </c>
      <c r="B224" s="125"/>
      <c r="C224" s="125"/>
      <c r="D224" s="125"/>
      <c r="E224" s="125"/>
      <c r="F224" s="47"/>
      <c r="G224" s="47"/>
      <c r="H224" s="47"/>
      <c r="I224" s="48"/>
      <c r="K224" s="48"/>
      <c r="L224" s="48"/>
    </row>
    <row r="225" spans="1:12" s="130" customFormat="1" ht="15">
      <c r="A225" s="127" t="str">
        <f>A220</f>
        <v>Squat</v>
      </c>
      <c r="B225" s="128">
        <f>B198+28</f>
        <v>40777</v>
      </c>
      <c r="C225" s="129">
        <f>B225+7</f>
        <v>40784</v>
      </c>
      <c r="D225" s="129">
        <f>C225+7</f>
        <v>40791</v>
      </c>
      <c r="E225" s="129">
        <f>D225+7</f>
        <v>40798</v>
      </c>
      <c r="F225" s="49"/>
      <c r="G225" s="49"/>
      <c r="H225" s="49"/>
      <c r="I225" s="80"/>
      <c r="K225" s="91" t="s">
        <v>55</v>
      </c>
      <c r="L225" s="91" t="s">
        <v>13</v>
      </c>
    </row>
    <row r="226" spans="1:12" ht="15">
      <c r="A226" s="131" t="s">
        <v>34</v>
      </c>
      <c r="B226" s="93">
        <f>IF(WeightFormat="Yes",ROUND(($C220*F221)/Rounding,0)*Rounding,ROUND((($C220*F221)-BarWeight)/2/Rounding,0)*Rounding)</f>
        <v>670</v>
      </c>
      <c r="C226" s="93">
        <f>IF(WeightFormat="Yes",ROUND(($C220*G221)/Rounding,0)*Rounding,ROUND((($C220*G221)-BarWeight)/2/Rounding,0)*Rounding)</f>
        <v>725</v>
      </c>
      <c r="D226" s="93">
        <f>IF(WeightFormat="Yes",ROUND(($C220*H221)/Rounding,0)*Rounding,ROUND((($C220*H221)-BarWeight)/2/Rounding,0)*Rounding)</f>
        <v>775</v>
      </c>
      <c r="E226" s="93">
        <f>IF(WeightFormat="Yes",ROUND(($C220*I221)/Rounding,0)*Rounding,ROUND((($C220*I221)-BarWeight)/2/Rounding,0)*Rounding)</f>
        <v>415</v>
      </c>
      <c r="F226" s="51"/>
      <c r="K226" s="92">
        <f>IF(WeightFormat="Yes",ROUND((C220*BBBPercentage)/Rounding,0)*Rounding,ROUND((($C220*BBBPercentage)-BarWeight)/2/Rounding,0)*Rounding)</f>
        <v>515</v>
      </c>
      <c r="L226" s="93">
        <f>K226</f>
        <v>515</v>
      </c>
    </row>
    <row r="227" spans="1:12" s="134" customFormat="1" ht="15">
      <c r="A227" s="132" t="s">
        <v>35</v>
      </c>
      <c r="B227" s="133">
        <f>IF(WeightFormat="Yes",ROUND(($C220*F222)/Rounding,0)*Rounding,ROUND((($C220*F222)-BarWeight)/2/Rounding,0)*Rounding)</f>
        <v>775</v>
      </c>
      <c r="C227" s="133">
        <f>IF(WeightFormat="Yes",ROUND(($C220*G222)/Rounding,0)*Rounding,ROUND((($C220*G222)-BarWeight)/2/Rounding,0)*Rounding)</f>
        <v>825</v>
      </c>
      <c r="D227" s="133">
        <f>IF(WeightFormat="Yes",ROUND(($C220*H222)/Rounding,0)*Rounding,ROUND((($C220*H222)-BarWeight)/2/Rounding,0)*Rounding)</f>
        <v>880</v>
      </c>
      <c r="E227" s="133">
        <f>IF(WeightFormat="Yes",ROUND(($C220*I222)/Rounding,0)*Rounding,ROUND((($C220*I222)-BarWeight)/2/Rounding,0)*Rounding)</f>
        <v>515</v>
      </c>
      <c r="F227" s="54"/>
      <c r="G227" s="55"/>
      <c r="H227" s="55"/>
      <c r="I227" s="56"/>
      <c r="K227" s="56"/>
      <c r="L227" s="56"/>
    </row>
    <row r="228" spans="1:12" s="137" customFormat="1" ht="15">
      <c r="A228" s="135" t="s">
        <v>36</v>
      </c>
      <c r="B228" s="136">
        <f>IF(WeightFormat="Yes",ROUND(($C220*F223)/Rounding,0)*Rounding,ROUND((($C220*F223)-BarWeight)/2/Rounding,0)*Rounding)</f>
        <v>880</v>
      </c>
      <c r="C228" s="136">
        <f>IF(WeightFormat="Yes",ROUND(($C220*G223)/Rounding,0)*Rounding,ROUND((($C220*G223)-BarWeight)/2/Rounding,0)*Rounding)</f>
        <v>930</v>
      </c>
      <c r="D228" s="136">
        <f>IF(WeightFormat="Yes",ROUND(($C220*H223)/Rounding,0)*Rounding,ROUND((($C220*H223)-BarWeight)/2/Rounding,0)*Rounding)</f>
        <v>980</v>
      </c>
      <c r="E228" s="136">
        <f>IF(WeightFormat="Yes",ROUND(($C220*I223)/Rounding,0)*Rounding,ROUND((($C220*I223)-BarWeight)/2/Rounding,0)*Rounding)</f>
        <v>620</v>
      </c>
      <c r="F228" s="57"/>
      <c r="G228" s="58">
        <f>IF(OR(ISERROR(F229),ISERROR(G229)),0,(G229-F229)/F229)</f>
        <v>0</v>
      </c>
      <c r="H228" s="58">
        <f>IF(OR(ISERROR(G229),ISERROR(H229)),0,(H229-G229)/G229)</f>
        <v>0</v>
      </c>
      <c r="I228" s="59"/>
      <c r="K228" s="59"/>
      <c r="L228" s="59"/>
    </row>
    <row r="229" spans="1:12" s="139" customFormat="1" ht="15.75" thickBot="1">
      <c r="A229" s="138" t="s">
        <v>37</v>
      </c>
      <c r="B229" s="94"/>
      <c r="C229" s="94"/>
      <c r="D229" s="94"/>
      <c r="E229" s="94" t="s">
        <v>15</v>
      </c>
      <c r="F229" s="60" t="e">
        <f>IF(B229=0,NA(),IF(WeightFormat="No",((B228*2)+BarWeight)/(1.0278-(0.0278*B229)),B228/(1.0278-(0.0278*B229))))</f>
        <v>#N/A</v>
      </c>
      <c r="G229" s="60" t="e">
        <f>IF(C229=0,NA(),IF(WeightFormat="No",((C228*2)+BarWeight)/(1.0278-(0.0278*C229)),C228/(1.0278-(0.0278*C229))))</f>
        <v>#N/A</v>
      </c>
      <c r="H229" s="60" t="e">
        <f>IF(D229=0,NA(),IF(WeightFormat="No",((D228*2)+BarWeight)/(1.0278-(0.0278*D229)),D228/(1.0278-(0.0278*D229))))</f>
        <v>#N/A</v>
      </c>
      <c r="I229" s="81"/>
      <c r="K229" s="98" t="str">
        <f>K202</f>
        <v>5 x 10</v>
      </c>
      <c r="L229" s="98" t="str">
        <f>L202</f>
        <v>3 x 10</v>
      </c>
    </row>
    <row r="230" spans="1:12" s="142" customFormat="1" ht="15">
      <c r="A230" s="140" t="str">
        <f>A221</f>
        <v>Bench Press</v>
      </c>
      <c r="B230" s="141">
        <f>B203+28</f>
        <v>40779</v>
      </c>
      <c r="C230" s="141">
        <f>B230+7</f>
        <v>40786</v>
      </c>
      <c r="D230" s="141">
        <f>C230+7</f>
        <v>40793</v>
      </c>
      <c r="E230" s="141">
        <f>D230+7</f>
        <v>40800</v>
      </c>
      <c r="F230" s="62"/>
      <c r="G230" s="62"/>
      <c r="H230" s="62"/>
      <c r="I230" s="82"/>
      <c r="K230" s="82"/>
      <c r="L230" s="82"/>
    </row>
    <row r="231" spans="1:12" ht="15">
      <c r="A231" s="131" t="s">
        <v>34</v>
      </c>
      <c r="B231" s="93">
        <f>IF(WeightFormat="Yes",ROUND(($C221*F221)/Rounding,0)*Rounding,ROUND((($C221*F221)-BarWeight)/2/Rounding,0)*Rounding)</f>
        <v>335</v>
      </c>
      <c r="C231" s="93">
        <f>IF(WeightFormat="Yes",ROUND(($C221*G221)/Rounding,0)*Rounding,ROUND((($C221*G221)-BarWeight)/2/Rounding,0)*Rounding)</f>
        <v>360</v>
      </c>
      <c r="D231" s="93">
        <f>IF(WeightFormat="Yes",ROUND(($C221*H221)/Rounding,0)*Rounding,ROUND((($C221*H221)-BarWeight)/2/Rounding,0)*Rounding)</f>
        <v>385</v>
      </c>
      <c r="E231" s="93">
        <f>IF(WeightFormat="Yes",ROUND(($C221*I221)/Rounding,0)*Rounding,ROUND((($C221*I221)-BarWeight)/2/Rounding,0)*Rounding)</f>
        <v>205</v>
      </c>
      <c r="F231" s="64"/>
      <c r="G231" s="64"/>
      <c r="H231" s="64"/>
      <c r="K231" s="92">
        <f>IF(WeightFormat="Yes",ROUND((C221*BBBPercentage)/Rounding,0)*Rounding,ROUND((($C221*BBBPercentage)-BarWeight)/2/Rounding,0)*Rounding)</f>
        <v>260</v>
      </c>
      <c r="L231" s="93">
        <f>K231</f>
        <v>260</v>
      </c>
    </row>
    <row r="232" spans="1:12" s="134" customFormat="1" ht="15">
      <c r="A232" s="132" t="s">
        <v>35</v>
      </c>
      <c r="B232" s="133">
        <f>IF(WeightFormat="Yes",ROUND(($C221*F222)/Rounding,0)*Rounding,ROUND((($C221*F222)-BarWeight)/2/Rounding,0)*Rounding)</f>
        <v>385</v>
      </c>
      <c r="C232" s="133">
        <f>IF(WeightFormat="Yes",ROUND(($C221*G222)/Rounding,0)*Rounding,ROUND((($C221*G222)-BarWeight)/2/Rounding,0)*Rounding)</f>
        <v>415</v>
      </c>
      <c r="D232" s="133">
        <f>IF(WeightFormat="Yes",ROUND(($C221*H222)/Rounding,0)*Rounding,ROUND((($C221*H222)-BarWeight)/2/Rounding,0)*Rounding)</f>
        <v>440</v>
      </c>
      <c r="E232" s="133">
        <f>IF(WeightFormat="Yes",ROUND(($C221*I222)/Rounding,0)*Rounding,ROUND((($C221*I222)-BarWeight)/2/Rounding,0)*Rounding)</f>
        <v>260</v>
      </c>
      <c r="F232" s="66"/>
      <c r="G232" s="66"/>
      <c r="H232" s="66"/>
      <c r="I232" s="56"/>
      <c r="K232" s="56"/>
      <c r="L232" s="56"/>
    </row>
    <row r="233" spans="1:12" s="137" customFormat="1" ht="15">
      <c r="A233" s="135" t="s">
        <v>36</v>
      </c>
      <c r="B233" s="136">
        <f>IF(WeightFormat="Yes",ROUND(($C221*F223)/Rounding,0)*Rounding,ROUND((($C221*F223)-BarWeight)/2/Rounding,0)*Rounding)</f>
        <v>440</v>
      </c>
      <c r="C233" s="136">
        <f>IF(WeightFormat="Yes",ROUND(($C221*G223)/Rounding,0)*Rounding,ROUND((($C221*G223)-BarWeight)/2/Rounding,0)*Rounding)</f>
        <v>465</v>
      </c>
      <c r="D233" s="136">
        <f>IF(WeightFormat="Yes",ROUND(($C221*H223)/Rounding,0)*Rounding,ROUND((($C221*H223)-BarWeight)/2/Rounding,0)*Rounding)</f>
        <v>490</v>
      </c>
      <c r="E233" s="136">
        <f>IF(WeightFormat="Yes",ROUND(($C221*I223)/Rounding,0)*Rounding,ROUND((($C221*I223)-BarWeight)/2/Rounding,0)*Rounding)</f>
        <v>310</v>
      </c>
      <c r="F233" s="57"/>
      <c r="G233" s="58">
        <f>IF(OR(ISERROR(F234),ISERROR(G234)),0,(G234-F234)/F234)</f>
        <v>0</v>
      </c>
      <c r="H233" s="58">
        <f>IF(OR(ISERROR(G234),ISERROR(H234)),0,(H234-G234)/G234)</f>
        <v>0</v>
      </c>
      <c r="I233" s="59"/>
      <c r="K233" s="59"/>
      <c r="L233" s="59"/>
    </row>
    <row r="234" spans="1:12" s="144" customFormat="1" ht="15.75" thickBot="1">
      <c r="A234" s="143" t="s">
        <v>37</v>
      </c>
      <c r="B234" s="95"/>
      <c r="C234" s="95"/>
      <c r="D234" s="95"/>
      <c r="E234" s="95" t="s">
        <v>15</v>
      </c>
      <c r="F234" s="69" t="e">
        <f>IF(B234=0,NA(),IF(WeightFormat="No",((B233*2)+BarWeight)/(1.0278-(0.0278*B234)),B233/(1.0278-(0.0278*B234))))</f>
        <v>#N/A</v>
      </c>
      <c r="G234" s="69" t="e">
        <f>IF(C234=0,NA(),IF(WeightFormat="No",((C233*2)+BarWeight)/(1.0278-(0.0278*C234)),C233/(1.0278-(0.0278*C234))))</f>
        <v>#N/A</v>
      </c>
      <c r="H234" s="69" t="e">
        <f>IF(D234=0,NA(),IF(WeightFormat="No",((D233*2)+BarWeight)/(1.0278-(0.0278*D234)),D233/(1.0278-(0.0278*D234))))</f>
        <v>#N/A</v>
      </c>
      <c r="I234" s="83"/>
      <c r="K234" s="99" t="str">
        <f>K207</f>
        <v>5 x 10</v>
      </c>
      <c r="L234" s="99" t="str">
        <f>L207</f>
        <v>3 x 10</v>
      </c>
    </row>
    <row r="235" spans="1:12" s="147" customFormat="1" ht="15">
      <c r="A235" s="145" t="str">
        <f>A222</f>
        <v>Deadlift</v>
      </c>
      <c r="B235" s="146">
        <f>B208+28</f>
        <v>40780</v>
      </c>
      <c r="C235" s="146">
        <f>B235+7</f>
        <v>40787</v>
      </c>
      <c r="D235" s="146">
        <f>C235+7</f>
        <v>40794</v>
      </c>
      <c r="E235" s="146">
        <f>D235+7</f>
        <v>40801</v>
      </c>
      <c r="F235" s="71"/>
      <c r="G235" s="71"/>
      <c r="H235" s="71"/>
      <c r="I235" s="84"/>
      <c r="K235" s="84"/>
      <c r="L235" s="84"/>
    </row>
    <row r="236" spans="1:12" ht="15">
      <c r="A236" s="131" t="s">
        <v>34</v>
      </c>
      <c r="B236" s="93">
        <f>IF(WeightFormat="Yes",ROUND(($C222*F221)/Rounding,0)*Rounding,ROUND((($C222*F221)-BarWeight)/2/Rounding,0)*Rounding)</f>
        <v>545</v>
      </c>
      <c r="C236" s="93">
        <f>IF(WeightFormat="Yes",ROUND(($C222*G221)/Rounding,0)*Rounding,ROUND((($C222*G221)-BarWeight)/2/Rounding,0)*Rounding)</f>
        <v>590</v>
      </c>
      <c r="D236" s="93">
        <f>IF(WeightFormat="Yes",ROUND(($C222*H221)/Rounding,0)*Rounding,ROUND((($C222*H221)-BarWeight)/2/Rounding,0)*Rounding)</f>
        <v>630</v>
      </c>
      <c r="E236" s="93">
        <f>IF(WeightFormat="Yes",ROUND(($C222*I221)/Rounding,0)*Rounding,ROUND((($C222*I221)-BarWeight)/2/Rounding,0)*Rounding)</f>
        <v>335</v>
      </c>
      <c r="F236" s="64"/>
      <c r="G236" s="64"/>
      <c r="H236" s="64"/>
      <c r="K236" s="92">
        <f>IF(WeightFormat="Yes",ROUND((C222*BBBPercentage)/Rounding,0)*Rounding,ROUND((($C222*BBBPercentage)-BarWeight)/2/Rounding,0)*Rounding)</f>
        <v>420</v>
      </c>
      <c r="L236" s="93">
        <f>K236</f>
        <v>420</v>
      </c>
    </row>
    <row r="237" spans="1:12" s="134" customFormat="1" ht="15">
      <c r="A237" s="132" t="s">
        <v>35</v>
      </c>
      <c r="B237" s="133">
        <f>IF(WeightFormat="Yes",ROUND(($C222*F222)/Rounding,0)*Rounding,ROUND((($C222*F222)-BarWeight)/2/Rounding,0)*Rounding)</f>
        <v>630</v>
      </c>
      <c r="C237" s="133">
        <f>IF(WeightFormat="Yes",ROUND(($C222*G222)/Rounding,0)*Rounding,ROUND((($C222*G222)-BarWeight)/2/Rounding,0)*Rounding)</f>
        <v>675</v>
      </c>
      <c r="D237" s="133">
        <f>IF(WeightFormat="Yes",ROUND(($C222*H222)/Rounding,0)*Rounding,ROUND((($C222*H222)-BarWeight)/2/Rounding,0)*Rounding)</f>
        <v>715</v>
      </c>
      <c r="E237" s="133">
        <f>IF(WeightFormat="Yes",ROUND(($C222*I222)/Rounding,0)*Rounding,ROUND((($C222*I222)-BarWeight)/2/Rounding,0)*Rounding)</f>
        <v>420</v>
      </c>
      <c r="F237" s="66"/>
      <c r="G237" s="66"/>
      <c r="H237" s="66"/>
      <c r="I237" s="56"/>
      <c r="K237" s="56"/>
      <c r="L237" s="56"/>
    </row>
    <row r="238" spans="1:12" s="137" customFormat="1" ht="15">
      <c r="A238" s="135" t="s">
        <v>36</v>
      </c>
      <c r="B238" s="136">
        <f>IF(WeightFormat="Yes",ROUND(($C222*F223)/Rounding,0)*Rounding,ROUND((($C222*F223)-BarWeight)/2/Rounding,0)*Rounding)</f>
        <v>715</v>
      </c>
      <c r="C238" s="136">
        <f>IF(WeightFormat="Yes",ROUND(($C222*G223)/Rounding,0)*Rounding,ROUND((($C222*G223)-BarWeight)/2/Rounding,0)*Rounding)</f>
        <v>760</v>
      </c>
      <c r="D238" s="136">
        <f>IF(WeightFormat="Yes",ROUND(($C222*H223)/Rounding,0)*Rounding,ROUND((($C222*H223)-BarWeight)/2/Rounding,0)*Rounding)</f>
        <v>800</v>
      </c>
      <c r="E238" s="136">
        <f>IF(WeightFormat="Yes",ROUND(($C222*I223)/Rounding,0)*Rounding,ROUND((($C222*I223)-BarWeight)/2/Rounding,0)*Rounding)</f>
        <v>505</v>
      </c>
      <c r="F238" s="57"/>
      <c r="G238" s="58">
        <f>IF(OR(ISERROR(F239),ISERROR(G239)),0,(G239-F239)/F239)</f>
        <v>0</v>
      </c>
      <c r="H238" s="58">
        <f>IF(OR(ISERROR(G239),ISERROR(H239)),0,(H239-G239)/G239)</f>
        <v>0</v>
      </c>
      <c r="I238" s="59"/>
      <c r="K238" s="59"/>
      <c r="L238" s="59"/>
    </row>
    <row r="239" spans="1:12" s="149" customFormat="1" ht="15.75" thickBot="1">
      <c r="A239" s="148" t="s">
        <v>37</v>
      </c>
      <c r="B239" s="96"/>
      <c r="C239" s="96"/>
      <c r="D239" s="96"/>
      <c r="E239" s="96" t="s">
        <v>15</v>
      </c>
      <c r="F239" s="73" t="e">
        <f>IF(B239=0,NA(),IF(WeightFormat="No",((B238*2)+BarWeight)/(1.0278-(0.0278*B239)),B238/(1.0278-(0.0278*B239))))</f>
        <v>#N/A</v>
      </c>
      <c r="G239" s="73" t="e">
        <f>IF(C239=0,NA(),IF(WeightFormat="No",((C238*2)+BarWeight)/(1.0278-(0.0278*C239)),C238/(1.0278-(0.0278*C239))))</f>
        <v>#N/A</v>
      </c>
      <c r="H239" s="73" t="e">
        <f>IF(D239=0,NA(),IF(WeightFormat="No",((D238*2)+BarWeight)/(1.0278-(0.0278*D239)),D238/(1.0278-(0.0278*D239))))</f>
        <v>#N/A</v>
      </c>
      <c r="I239" s="85"/>
      <c r="K239" s="100" t="str">
        <f>K212</f>
        <v>5 x 8</v>
      </c>
      <c r="L239" s="100" t="str">
        <f>L212</f>
        <v>3 x 8</v>
      </c>
    </row>
    <row r="240" spans="1:12" s="152" customFormat="1" ht="15">
      <c r="A240" s="150" t="str">
        <f>A223</f>
        <v>Shoulder Press</v>
      </c>
      <c r="B240" s="151">
        <f>B213+28</f>
        <v>40781</v>
      </c>
      <c r="C240" s="151">
        <f>B240+7</f>
        <v>40788</v>
      </c>
      <c r="D240" s="151">
        <f>C240+7</f>
        <v>40795</v>
      </c>
      <c r="E240" s="151">
        <f>D240+7</f>
        <v>40802</v>
      </c>
      <c r="F240" s="75"/>
      <c r="G240" s="75"/>
      <c r="H240" s="75"/>
      <c r="I240" s="86"/>
      <c r="K240" s="86"/>
      <c r="L240" s="86"/>
    </row>
    <row r="241" spans="1:12" ht="15">
      <c r="A241" s="131" t="s">
        <v>34</v>
      </c>
      <c r="B241" s="93">
        <f>IF(WeightFormat="Yes",ROUND(($C223*F221)/Rounding,0)*Rounding,ROUND((($C223*F221)-BarWeight)/2/Rounding,0)*Rounding)</f>
        <v>275</v>
      </c>
      <c r="C241" s="93">
        <f>IF(WeightFormat="Yes",ROUND(($C223*G221)/Rounding,0)*Rounding,ROUND((($C223*G221)-BarWeight)/2/Rounding,0)*Rounding)</f>
        <v>295</v>
      </c>
      <c r="D241" s="93">
        <f>IF(WeightFormat="Yes",ROUND(($C223*H221)/Rounding,0)*Rounding,ROUND((($C223*H221)-BarWeight)/2/Rounding,0)*Rounding)</f>
        <v>315</v>
      </c>
      <c r="E241" s="93">
        <f>IF(WeightFormat="Yes",ROUND(($C223*I221)/Rounding,0)*Rounding,ROUND((($C223*I221)-BarWeight)/2/Rounding,0)*Rounding)</f>
        <v>170</v>
      </c>
      <c r="F241" s="64"/>
      <c r="G241" s="64"/>
      <c r="H241" s="64"/>
      <c r="K241" s="92">
        <f>IF(WeightFormat="Yes",ROUND((C223*BBBPercentage)/Rounding,0)*Rounding,ROUND((($C223*BBBPercentage)-BarWeight)/2/Rounding,0)*Rounding)</f>
        <v>210</v>
      </c>
      <c r="L241" s="93">
        <f>K241</f>
        <v>210</v>
      </c>
    </row>
    <row r="242" spans="1:12" s="134" customFormat="1" ht="15">
      <c r="A242" s="132" t="s">
        <v>35</v>
      </c>
      <c r="B242" s="133">
        <f>IF(WeightFormat="Yes",ROUND(($C223*F222)/Rounding,0)*Rounding,ROUND((($C223*F222)-BarWeight)/2/Rounding,0)*Rounding)</f>
        <v>315</v>
      </c>
      <c r="C242" s="133">
        <f>IF(WeightFormat="Yes",ROUND(($C223*G222)/Rounding,0)*Rounding,ROUND((($C223*G222)-BarWeight)/2/Rounding,0)*Rounding)</f>
        <v>335</v>
      </c>
      <c r="D242" s="133">
        <f>IF(WeightFormat="Yes",ROUND(($C223*H222)/Rounding,0)*Rounding,ROUND((($C223*H222)-BarWeight)/2/Rounding,0)*Rounding)</f>
        <v>360</v>
      </c>
      <c r="E242" s="133">
        <f>IF(WeightFormat="Yes",ROUND(($C223*I222)/Rounding,0)*Rounding,ROUND((($C223*I222)-BarWeight)/2/Rounding,0)*Rounding)</f>
        <v>210</v>
      </c>
      <c r="F242" s="66"/>
      <c r="G242" s="66"/>
      <c r="H242" s="66"/>
      <c r="I242" s="56"/>
      <c r="K242" s="56"/>
      <c r="L242" s="56"/>
    </row>
    <row r="243" spans="1:12" s="137" customFormat="1" ht="15">
      <c r="A243" s="135" t="s">
        <v>36</v>
      </c>
      <c r="B243" s="93">
        <f>IF(WeightFormat="Yes",ROUND(($C223*F223)/Rounding,0)*Rounding,ROUND((($C223*F223)-BarWeight)/2/Rounding,0)*Rounding)</f>
        <v>360</v>
      </c>
      <c r="C243" s="93">
        <f>IF(WeightFormat="Yes",ROUND(($C223*G223)/Rounding,0)*Rounding,ROUND((($C223*G223)-BarWeight)/2/Rounding,0)*Rounding)</f>
        <v>380</v>
      </c>
      <c r="D243" s="93">
        <f>IF(WeightFormat="Yes",ROUND(($C223*H223)/Rounding,0)*Rounding,ROUND((($C223*H223)-BarWeight)/2/Rounding,0)*Rounding)</f>
        <v>400</v>
      </c>
      <c r="E243" s="93">
        <f>IF(WeightFormat="Yes",ROUND(($C223*I223)/Rounding,0)*Rounding,ROUND((($C223*I223)-BarWeight)/2/Rounding,0)*Rounding)</f>
        <v>255</v>
      </c>
      <c r="F243" s="57"/>
      <c r="G243" s="58">
        <f>IF(OR(ISERROR(F244),ISERROR(G244)),0,(G244-F244)/F244)</f>
        <v>0</v>
      </c>
      <c r="H243" s="58">
        <f>IF(OR(ISERROR(G244),ISERROR(H244)),0,(H244-G244)/G244)</f>
        <v>0</v>
      </c>
      <c r="I243" s="59"/>
      <c r="K243" s="59"/>
      <c r="L243" s="59"/>
    </row>
    <row r="244" spans="1:12" s="154" customFormat="1" ht="15.75" thickBot="1">
      <c r="A244" s="153" t="s">
        <v>37</v>
      </c>
      <c r="B244" s="97"/>
      <c r="C244" s="97"/>
      <c r="D244" s="97"/>
      <c r="E244" s="97" t="s">
        <v>15</v>
      </c>
      <c r="F244" s="77" t="e">
        <f>IF(B244=0,NA(),IF(WeightFormat="No",((B243*2)+BarWeight)/(1.0278-(0.0278*B244)),B243/(1.0278-(0.0278*B244))))</f>
        <v>#N/A</v>
      </c>
      <c r="G244" s="77" t="e">
        <f>IF(C244=0,NA(),IF(WeightFormat="No",((C243*2)+BarWeight)/(1.0278-(0.0278*C244)),C243/(1.0278-(0.0278*C244))))</f>
        <v>#N/A</v>
      </c>
      <c r="H244" s="77" t="e">
        <f>IF(D244=0,NA(),IF(WeightFormat="No",((D243*2)+BarWeight)/(1.0278-(0.0278*D244)),D243/(1.0278-(0.0278*D244))))</f>
        <v>#N/A</v>
      </c>
      <c r="I244" s="87"/>
      <c r="K244" s="101" t="str">
        <f>K217</f>
        <v>5 x 10</v>
      </c>
      <c r="L244" s="101" t="str">
        <f>L217</f>
        <v>3 x 10</v>
      </c>
    </row>
    <row r="245" spans="1:12" s="116" customFormat="1" ht="19.5" thickBot="1">
      <c r="A245" s="115" t="s">
        <v>47</v>
      </c>
      <c r="B245" s="206" t="str">
        <f>TEXT(B252,"dd mmm")&amp;" to "&amp;TEXT(E267,"dd mmm yyyy")</f>
        <v>19 Sep to 14 Oct 2011</v>
      </c>
      <c r="C245" s="207"/>
      <c r="D245" s="207"/>
      <c r="E245" s="207"/>
      <c r="F245" s="207"/>
      <c r="G245" s="207"/>
      <c r="H245" s="207"/>
      <c r="I245" s="208"/>
      <c r="K245" s="88"/>
      <c r="L245" s="88"/>
    </row>
    <row r="246" spans="1:12" s="119" customFormat="1" ht="15">
      <c r="A246" s="117" t="s">
        <v>5</v>
      </c>
      <c r="B246" s="118" t="s">
        <v>0</v>
      </c>
      <c r="C246" s="79">
        <v>0.9</v>
      </c>
      <c r="D246" s="209"/>
      <c r="E246" s="210"/>
      <c r="F246" s="215" t="s">
        <v>14</v>
      </c>
      <c r="G246" s="215"/>
      <c r="H246" s="215"/>
      <c r="I246" s="215"/>
      <c r="K246" s="89"/>
      <c r="L246" s="89"/>
    </row>
    <row r="247" spans="1:12" s="122" customFormat="1" ht="15">
      <c r="A247" s="90" t="str">
        <f>ExOne</f>
        <v>Squat</v>
      </c>
      <c r="B247" s="120">
        <f>B220+(IncrOne/C246)</f>
        <v>1158.9999999999998</v>
      </c>
      <c r="C247" s="121">
        <f>B247*$C$3</f>
        <v>1043.1</v>
      </c>
      <c r="D247" s="211"/>
      <c r="E247" s="212"/>
      <c r="F247" s="42" t="s">
        <v>6</v>
      </c>
      <c r="G247" s="43" t="s">
        <v>7</v>
      </c>
      <c r="H247" s="43" t="s">
        <v>12</v>
      </c>
      <c r="I247" s="44" t="s">
        <v>13</v>
      </c>
      <c r="K247" s="90"/>
      <c r="L247" s="90"/>
    </row>
    <row r="248" spans="1:12" s="122" customFormat="1" ht="15">
      <c r="A248" s="90" t="str">
        <f>ExTwo</f>
        <v>Bench Press</v>
      </c>
      <c r="B248" s="120">
        <f>B221+(IncrTwo/C246)</f>
        <v>578.9999999999999</v>
      </c>
      <c r="C248" s="121">
        <f>B248*$C$3</f>
        <v>521.0999999999999</v>
      </c>
      <c r="D248" s="211"/>
      <c r="E248" s="212"/>
      <c r="F248" s="45">
        <v>0.65</v>
      </c>
      <c r="G248" s="45">
        <v>0.7</v>
      </c>
      <c r="H248" s="45">
        <v>0.75</v>
      </c>
      <c r="I248" s="46">
        <v>0.4</v>
      </c>
      <c r="K248" s="90"/>
      <c r="L248" s="90"/>
    </row>
    <row r="249" spans="1:12" s="122" customFormat="1" ht="15">
      <c r="A249" s="90" t="str">
        <f>ExThree</f>
        <v>Deadlift</v>
      </c>
      <c r="B249" s="120">
        <f>B222+(IncrThree/C246)</f>
        <v>946.9999999999998</v>
      </c>
      <c r="C249" s="121">
        <f>B249*$C$3</f>
        <v>852.2999999999998</v>
      </c>
      <c r="D249" s="211"/>
      <c r="E249" s="212"/>
      <c r="F249" s="45">
        <v>0.75</v>
      </c>
      <c r="G249" s="45">
        <v>0.8</v>
      </c>
      <c r="H249" s="45">
        <v>0.85</v>
      </c>
      <c r="I249" s="46">
        <v>0.5</v>
      </c>
      <c r="K249" s="90"/>
      <c r="L249" s="90"/>
    </row>
    <row r="250" spans="1:12" s="119" customFormat="1" ht="15">
      <c r="A250" s="89" t="str">
        <f>ExFour</f>
        <v>Shoulder Press</v>
      </c>
      <c r="B250" s="155">
        <f>B223+(IncrFour/C246)</f>
        <v>473.9999999999999</v>
      </c>
      <c r="C250" s="123">
        <f>B250*$C$3</f>
        <v>426.5999999999999</v>
      </c>
      <c r="D250" s="213"/>
      <c r="E250" s="214"/>
      <c r="F250" s="45">
        <v>0.85</v>
      </c>
      <c r="G250" s="45">
        <v>0.9</v>
      </c>
      <c r="H250" s="45">
        <v>0.95</v>
      </c>
      <c r="I250" s="46">
        <v>0.6</v>
      </c>
      <c r="K250" s="89"/>
      <c r="L250" s="89"/>
    </row>
    <row r="251" spans="1:12" s="126" customFormat="1" ht="15.75" thickBot="1">
      <c r="A251" s="124" t="s">
        <v>5</v>
      </c>
      <c r="B251" s="125"/>
      <c r="C251" s="125"/>
      <c r="D251" s="125"/>
      <c r="E251" s="125"/>
      <c r="F251" s="47"/>
      <c r="G251" s="47"/>
      <c r="H251" s="47"/>
      <c r="I251" s="48"/>
      <c r="K251" s="48"/>
      <c r="L251" s="48"/>
    </row>
    <row r="252" spans="1:12" s="130" customFormat="1" ht="15">
      <c r="A252" s="127" t="str">
        <f>A247</f>
        <v>Squat</v>
      </c>
      <c r="B252" s="128">
        <f>B225+28</f>
        <v>40805</v>
      </c>
      <c r="C252" s="129">
        <f>B252+7</f>
        <v>40812</v>
      </c>
      <c r="D252" s="129">
        <f>C252+7</f>
        <v>40819</v>
      </c>
      <c r="E252" s="129">
        <f>D252+7</f>
        <v>40826</v>
      </c>
      <c r="F252" s="49"/>
      <c r="G252" s="49"/>
      <c r="H252" s="49"/>
      <c r="I252" s="80"/>
      <c r="K252" s="91" t="s">
        <v>55</v>
      </c>
      <c r="L252" s="91" t="s">
        <v>13</v>
      </c>
    </row>
    <row r="253" spans="1:12" ht="15">
      <c r="A253" s="131" t="s">
        <v>34</v>
      </c>
      <c r="B253" s="93">
        <f>IF(WeightFormat="Yes",ROUND(($C247*F248)/Rounding,0)*Rounding,ROUND((($C247*F248)-BarWeight)/2/Rounding,0)*Rounding)</f>
        <v>680</v>
      </c>
      <c r="C253" s="93">
        <f>IF(WeightFormat="Yes",ROUND(($C247*G248)/Rounding,0)*Rounding,ROUND((($C247*G248)-BarWeight)/2/Rounding,0)*Rounding)</f>
        <v>730</v>
      </c>
      <c r="D253" s="93">
        <f>IF(WeightFormat="Yes",ROUND(($C247*H248)/Rounding,0)*Rounding,ROUND((($C247*H248)-BarWeight)/2/Rounding,0)*Rounding)</f>
        <v>780</v>
      </c>
      <c r="E253" s="93">
        <f>IF(WeightFormat="Yes",ROUND(($C247*I248)/Rounding,0)*Rounding,ROUND((($C247*I248)-BarWeight)/2/Rounding,0)*Rounding)</f>
        <v>415</v>
      </c>
      <c r="F253" s="51"/>
      <c r="K253" s="92">
        <f>IF(WeightFormat="Yes",ROUND((C247*BBBPercentage)/Rounding,0)*Rounding,ROUND((($C247*BBBPercentage)-BarWeight)/2/Rounding,0)*Rounding)</f>
        <v>520</v>
      </c>
      <c r="L253" s="93">
        <f>K253</f>
        <v>520</v>
      </c>
    </row>
    <row r="254" spans="1:12" s="134" customFormat="1" ht="15">
      <c r="A254" s="132" t="s">
        <v>35</v>
      </c>
      <c r="B254" s="133">
        <f>IF(WeightFormat="Yes",ROUND(($C247*F249)/Rounding,0)*Rounding,ROUND((($C247*F249)-BarWeight)/2/Rounding,0)*Rounding)</f>
        <v>780</v>
      </c>
      <c r="C254" s="133">
        <f>IF(WeightFormat="Yes",ROUND(($C247*G249)/Rounding,0)*Rounding,ROUND((($C247*G249)-BarWeight)/2/Rounding,0)*Rounding)</f>
        <v>835</v>
      </c>
      <c r="D254" s="133">
        <f>IF(WeightFormat="Yes",ROUND(($C247*H249)/Rounding,0)*Rounding,ROUND((($C247*H249)-BarWeight)/2/Rounding,0)*Rounding)</f>
        <v>885</v>
      </c>
      <c r="E254" s="133">
        <f>IF(WeightFormat="Yes",ROUND(($C247*I249)/Rounding,0)*Rounding,ROUND((($C247*I249)-BarWeight)/2/Rounding,0)*Rounding)</f>
        <v>520</v>
      </c>
      <c r="F254" s="54"/>
      <c r="G254" s="55"/>
      <c r="H254" s="55"/>
      <c r="I254" s="56"/>
      <c r="K254" s="56"/>
      <c r="L254" s="56"/>
    </row>
    <row r="255" spans="1:12" s="137" customFormat="1" ht="15">
      <c r="A255" s="135" t="s">
        <v>36</v>
      </c>
      <c r="B255" s="136">
        <f>IF(WeightFormat="Yes",ROUND(($C247*F250)/Rounding,0)*Rounding,ROUND((($C247*F250)-BarWeight)/2/Rounding,0)*Rounding)</f>
        <v>885</v>
      </c>
      <c r="C255" s="136">
        <f>IF(WeightFormat="Yes",ROUND(($C247*G250)/Rounding,0)*Rounding,ROUND((($C247*G250)-BarWeight)/2/Rounding,0)*Rounding)</f>
        <v>940</v>
      </c>
      <c r="D255" s="136">
        <f>IF(WeightFormat="Yes",ROUND(($C247*H250)/Rounding,0)*Rounding,ROUND((($C247*H250)-BarWeight)/2/Rounding,0)*Rounding)</f>
        <v>990</v>
      </c>
      <c r="E255" s="136">
        <f>IF(WeightFormat="Yes",ROUND(($C247*I250)/Rounding,0)*Rounding,ROUND((($C247*I250)-BarWeight)/2/Rounding,0)*Rounding)</f>
        <v>625</v>
      </c>
      <c r="F255" s="57"/>
      <c r="G255" s="58">
        <f>IF(OR(ISERROR(F256),ISERROR(G256)),0,(G256-F256)/F256)</f>
        <v>0</v>
      </c>
      <c r="H255" s="58">
        <f>IF(OR(ISERROR(G256),ISERROR(H256)),0,(H256-G256)/G256)</f>
        <v>0</v>
      </c>
      <c r="I255" s="59"/>
      <c r="K255" s="59"/>
      <c r="L255" s="59"/>
    </row>
    <row r="256" spans="1:12" s="139" customFormat="1" ht="15.75" thickBot="1">
      <c r="A256" s="138" t="s">
        <v>37</v>
      </c>
      <c r="B256" s="94"/>
      <c r="C256" s="94"/>
      <c r="D256" s="94"/>
      <c r="E256" s="94" t="s">
        <v>15</v>
      </c>
      <c r="F256" s="60" t="e">
        <f>IF(B256=0,NA(),IF(WeightFormat="No",((B255*2)+BarWeight)/(1.0278-(0.0278*B256)),B255/(1.0278-(0.0278*B256))))</f>
        <v>#N/A</v>
      </c>
      <c r="G256" s="60" t="e">
        <f>IF(C256=0,NA(),IF(WeightFormat="No",((C255*2)+BarWeight)/(1.0278-(0.0278*C256)),C255/(1.0278-(0.0278*C256))))</f>
        <v>#N/A</v>
      </c>
      <c r="H256" s="60" t="e">
        <f>IF(D256=0,NA(),IF(WeightFormat="No",((D255*2)+BarWeight)/(1.0278-(0.0278*D256)),D255/(1.0278-(0.0278*D256))))</f>
        <v>#N/A</v>
      </c>
      <c r="I256" s="81"/>
      <c r="K256" s="98" t="str">
        <f>K229</f>
        <v>5 x 10</v>
      </c>
      <c r="L256" s="98" t="str">
        <f>L229</f>
        <v>3 x 10</v>
      </c>
    </row>
    <row r="257" spans="1:12" s="142" customFormat="1" ht="15">
      <c r="A257" s="140" t="str">
        <f>A248</f>
        <v>Bench Press</v>
      </c>
      <c r="B257" s="141">
        <f>B230+28</f>
        <v>40807</v>
      </c>
      <c r="C257" s="141">
        <f>B257+7</f>
        <v>40814</v>
      </c>
      <c r="D257" s="141">
        <f>C257+7</f>
        <v>40821</v>
      </c>
      <c r="E257" s="141">
        <f>D257+7</f>
        <v>40828</v>
      </c>
      <c r="F257" s="62"/>
      <c r="G257" s="62"/>
      <c r="H257" s="62"/>
      <c r="I257" s="82"/>
      <c r="K257" s="82"/>
      <c r="L257" s="82"/>
    </row>
    <row r="258" spans="1:12" ht="15">
      <c r="A258" s="131" t="s">
        <v>34</v>
      </c>
      <c r="B258" s="93">
        <f>IF(WeightFormat="Yes",ROUND(($C248*F248)/Rounding,0)*Rounding,ROUND((($C248*F248)-BarWeight)/2/Rounding,0)*Rounding)</f>
        <v>340</v>
      </c>
      <c r="C258" s="93">
        <f>IF(WeightFormat="Yes",ROUND(($C248*G248)/Rounding,0)*Rounding,ROUND((($C248*G248)-BarWeight)/2/Rounding,0)*Rounding)</f>
        <v>365</v>
      </c>
      <c r="D258" s="93">
        <f>IF(WeightFormat="Yes",ROUND(($C248*H248)/Rounding,0)*Rounding,ROUND((($C248*H248)-BarWeight)/2/Rounding,0)*Rounding)</f>
        <v>390</v>
      </c>
      <c r="E258" s="93">
        <f>IF(WeightFormat="Yes",ROUND(($C248*I248)/Rounding,0)*Rounding,ROUND((($C248*I248)-BarWeight)/2/Rounding,0)*Rounding)</f>
        <v>210</v>
      </c>
      <c r="F258" s="64"/>
      <c r="G258" s="64"/>
      <c r="H258" s="64"/>
      <c r="K258" s="92">
        <f>IF(WeightFormat="Yes",ROUND((C248*BBBPercentage)/Rounding,0)*Rounding,ROUND((($C248*BBBPercentage)-BarWeight)/2/Rounding,0)*Rounding)</f>
        <v>260</v>
      </c>
      <c r="L258" s="93">
        <f>K258</f>
        <v>260</v>
      </c>
    </row>
    <row r="259" spans="1:12" s="134" customFormat="1" ht="15">
      <c r="A259" s="132" t="s">
        <v>35</v>
      </c>
      <c r="B259" s="133">
        <f>IF(WeightFormat="Yes",ROUND(($C248*F249)/Rounding,0)*Rounding,ROUND((($C248*F249)-BarWeight)/2/Rounding,0)*Rounding)</f>
        <v>390</v>
      </c>
      <c r="C259" s="133">
        <f>IF(WeightFormat="Yes",ROUND(($C248*G249)/Rounding,0)*Rounding,ROUND((($C248*G249)-BarWeight)/2/Rounding,0)*Rounding)</f>
        <v>415</v>
      </c>
      <c r="D259" s="133">
        <f>IF(WeightFormat="Yes",ROUND(($C248*H249)/Rounding,0)*Rounding,ROUND((($C248*H249)-BarWeight)/2/Rounding,0)*Rounding)</f>
        <v>445</v>
      </c>
      <c r="E259" s="133">
        <f>IF(WeightFormat="Yes",ROUND(($C248*I249)/Rounding,0)*Rounding,ROUND((($C248*I249)-BarWeight)/2/Rounding,0)*Rounding)</f>
        <v>260</v>
      </c>
      <c r="F259" s="66"/>
      <c r="G259" s="66"/>
      <c r="H259" s="66"/>
      <c r="I259" s="56"/>
      <c r="K259" s="56"/>
      <c r="L259" s="56"/>
    </row>
    <row r="260" spans="1:12" s="137" customFormat="1" ht="15">
      <c r="A260" s="135" t="s">
        <v>36</v>
      </c>
      <c r="B260" s="136">
        <f>IF(WeightFormat="Yes",ROUND(($C248*F250)/Rounding,0)*Rounding,ROUND((($C248*F250)-BarWeight)/2/Rounding,0)*Rounding)</f>
        <v>445</v>
      </c>
      <c r="C260" s="136">
        <f>IF(WeightFormat="Yes",ROUND(($C248*G250)/Rounding,0)*Rounding,ROUND((($C248*G250)-BarWeight)/2/Rounding,0)*Rounding)</f>
        <v>470</v>
      </c>
      <c r="D260" s="136">
        <f>IF(WeightFormat="Yes",ROUND(($C248*H250)/Rounding,0)*Rounding,ROUND((($C248*H250)-BarWeight)/2/Rounding,0)*Rounding)</f>
        <v>495</v>
      </c>
      <c r="E260" s="136">
        <f>IF(WeightFormat="Yes",ROUND(($C248*I250)/Rounding,0)*Rounding,ROUND((($C248*I250)-BarWeight)/2/Rounding,0)*Rounding)</f>
        <v>315</v>
      </c>
      <c r="F260" s="57"/>
      <c r="G260" s="58">
        <f>IF(OR(ISERROR(F261),ISERROR(G261)),0,(G261-F261)/F261)</f>
        <v>0</v>
      </c>
      <c r="H260" s="58">
        <f>IF(OR(ISERROR(G261),ISERROR(H261)),0,(H261-G261)/G261)</f>
        <v>0</v>
      </c>
      <c r="I260" s="59"/>
      <c r="K260" s="59"/>
      <c r="L260" s="59"/>
    </row>
    <row r="261" spans="1:12" s="144" customFormat="1" ht="15.75" thickBot="1">
      <c r="A261" s="143" t="s">
        <v>37</v>
      </c>
      <c r="B261" s="95"/>
      <c r="C261" s="95"/>
      <c r="D261" s="95"/>
      <c r="E261" s="95" t="s">
        <v>15</v>
      </c>
      <c r="F261" s="69" t="e">
        <f>IF(B261=0,NA(),IF(WeightFormat="No",((B260*2)+BarWeight)/(1.0278-(0.0278*B261)),B260/(1.0278-(0.0278*B261))))</f>
        <v>#N/A</v>
      </c>
      <c r="G261" s="69" t="e">
        <f>IF(C261=0,NA(),IF(WeightFormat="No",((C260*2)+BarWeight)/(1.0278-(0.0278*C261)),C260/(1.0278-(0.0278*C261))))</f>
        <v>#N/A</v>
      </c>
      <c r="H261" s="69" t="e">
        <f>IF(D261=0,NA(),IF(WeightFormat="No",((D260*2)+BarWeight)/(1.0278-(0.0278*D261)),D260/(1.0278-(0.0278*D261))))</f>
        <v>#N/A</v>
      </c>
      <c r="I261" s="83"/>
      <c r="K261" s="99" t="str">
        <f>K234</f>
        <v>5 x 10</v>
      </c>
      <c r="L261" s="99" t="str">
        <f>L234</f>
        <v>3 x 10</v>
      </c>
    </row>
    <row r="262" spans="1:12" s="147" customFormat="1" ht="15">
      <c r="A262" s="145" t="str">
        <f>A249</f>
        <v>Deadlift</v>
      </c>
      <c r="B262" s="146">
        <f>B235+28</f>
        <v>40808</v>
      </c>
      <c r="C262" s="146">
        <f>B262+7</f>
        <v>40815</v>
      </c>
      <c r="D262" s="146">
        <f>C262+7</f>
        <v>40822</v>
      </c>
      <c r="E262" s="146">
        <f>D262+7</f>
        <v>40829</v>
      </c>
      <c r="F262" s="71"/>
      <c r="G262" s="71"/>
      <c r="H262" s="71"/>
      <c r="I262" s="84"/>
      <c r="K262" s="84"/>
      <c r="L262" s="84"/>
    </row>
    <row r="263" spans="1:12" ht="15">
      <c r="A263" s="131" t="s">
        <v>34</v>
      </c>
      <c r="B263" s="93">
        <f>IF(WeightFormat="Yes",ROUND(($C249*F248)/Rounding,0)*Rounding,ROUND((($C249*F248)-BarWeight)/2/Rounding,0)*Rounding)</f>
        <v>555</v>
      </c>
      <c r="C263" s="93">
        <f>IF(WeightFormat="Yes",ROUND(($C249*G248)/Rounding,0)*Rounding,ROUND((($C249*G248)-BarWeight)/2/Rounding,0)*Rounding)</f>
        <v>595</v>
      </c>
      <c r="D263" s="93">
        <f>IF(WeightFormat="Yes",ROUND(($C249*H248)/Rounding,0)*Rounding,ROUND((($C249*H248)-BarWeight)/2/Rounding,0)*Rounding)</f>
        <v>640</v>
      </c>
      <c r="E263" s="93">
        <f>IF(WeightFormat="Yes",ROUND(($C249*I248)/Rounding,0)*Rounding,ROUND((($C249*I248)-BarWeight)/2/Rounding,0)*Rounding)</f>
        <v>340</v>
      </c>
      <c r="F263" s="64"/>
      <c r="G263" s="64"/>
      <c r="H263" s="64"/>
      <c r="K263" s="92">
        <f>IF(WeightFormat="Yes",ROUND((C249*BBBPercentage)/Rounding,0)*Rounding,ROUND((($C249*BBBPercentage)-BarWeight)/2/Rounding,0)*Rounding)</f>
        <v>425</v>
      </c>
      <c r="L263" s="93">
        <f>K263</f>
        <v>425</v>
      </c>
    </row>
    <row r="264" spans="1:12" s="134" customFormat="1" ht="15">
      <c r="A264" s="132" t="s">
        <v>35</v>
      </c>
      <c r="B264" s="133">
        <f>IF(WeightFormat="Yes",ROUND(($C249*F249)/Rounding,0)*Rounding,ROUND((($C249*F249)-BarWeight)/2/Rounding,0)*Rounding)</f>
        <v>640</v>
      </c>
      <c r="C264" s="133">
        <f>IF(WeightFormat="Yes",ROUND(($C249*G249)/Rounding,0)*Rounding,ROUND((($C249*G249)-BarWeight)/2/Rounding,0)*Rounding)</f>
        <v>680</v>
      </c>
      <c r="D264" s="133">
        <f>IF(WeightFormat="Yes",ROUND(($C249*H249)/Rounding,0)*Rounding,ROUND((($C249*H249)-BarWeight)/2/Rounding,0)*Rounding)</f>
        <v>725</v>
      </c>
      <c r="E264" s="133">
        <f>IF(WeightFormat="Yes",ROUND(($C249*I249)/Rounding,0)*Rounding,ROUND((($C249*I249)-BarWeight)/2/Rounding,0)*Rounding)</f>
        <v>425</v>
      </c>
      <c r="F264" s="66"/>
      <c r="G264" s="66"/>
      <c r="H264" s="66"/>
      <c r="I264" s="56"/>
      <c r="K264" s="56"/>
      <c r="L264" s="56"/>
    </row>
    <row r="265" spans="1:12" s="137" customFormat="1" ht="15">
      <c r="A265" s="135" t="s">
        <v>36</v>
      </c>
      <c r="B265" s="136">
        <f>IF(WeightFormat="Yes",ROUND(($C249*F250)/Rounding,0)*Rounding,ROUND((($C249*F250)-BarWeight)/2/Rounding,0)*Rounding)</f>
        <v>725</v>
      </c>
      <c r="C265" s="136">
        <f>IF(WeightFormat="Yes",ROUND(($C249*G250)/Rounding,0)*Rounding,ROUND((($C249*G250)-BarWeight)/2/Rounding,0)*Rounding)</f>
        <v>765</v>
      </c>
      <c r="D265" s="136">
        <f>IF(WeightFormat="Yes",ROUND(($C249*H250)/Rounding,0)*Rounding,ROUND((($C249*H250)-BarWeight)/2/Rounding,0)*Rounding)</f>
        <v>810</v>
      </c>
      <c r="E265" s="136">
        <f>IF(WeightFormat="Yes",ROUND(($C249*I250)/Rounding,0)*Rounding,ROUND((($C249*I250)-BarWeight)/2/Rounding,0)*Rounding)</f>
        <v>510</v>
      </c>
      <c r="F265" s="57"/>
      <c r="G265" s="58">
        <f>IF(OR(ISERROR(F266),ISERROR(G266)),0,(G266-F266)/F266)</f>
        <v>0</v>
      </c>
      <c r="H265" s="58">
        <f>IF(OR(ISERROR(G266),ISERROR(H266)),0,(H266-G266)/G266)</f>
        <v>0</v>
      </c>
      <c r="I265" s="59"/>
      <c r="K265" s="59"/>
      <c r="L265" s="59"/>
    </row>
    <row r="266" spans="1:12" s="149" customFormat="1" ht="15.75" thickBot="1">
      <c r="A266" s="148" t="s">
        <v>37</v>
      </c>
      <c r="B266" s="96"/>
      <c r="C266" s="96"/>
      <c r="D266" s="96"/>
      <c r="E266" s="96" t="s">
        <v>15</v>
      </c>
      <c r="F266" s="73" t="e">
        <f>IF(B266=0,NA(),IF(WeightFormat="No",((B265*2)+BarWeight)/(1.0278-(0.0278*B266)),B265/(1.0278-(0.0278*B266))))</f>
        <v>#N/A</v>
      </c>
      <c r="G266" s="73" t="e">
        <f>IF(C266=0,NA(),IF(WeightFormat="No",((C265*2)+BarWeight)/(1.0278-(0.0278*C266)),C265/(1.0278-(0.0278*C266))))</f>
        <v>#N/A</v>
      </c>
      <c r="H266" s="73" t="e">
        <f>IF(D266=0,NA(),IF(WeightFormat="No",((D265*2)+BarWeight)/(1.0278-(0.0278*D266)),D265/(1.0278-(0.0278*D266))))</f>
        <v>#N/A</v>
      </c>
      <c r="I266" s="85"/>
      <c r="K266" s="100" t="str">
        <f>K239</f>
        <v>5 x 8</v>
      </c>
      <c r="L266" s="100" t="str">
        <f>L239</f>
        <v>3 x 8</v>
      </c>
    </row>
    <row r="267" spans="1:12" s="152" customFormat="1" ht="15">
      <c r="A267" s="150" t="str">
        <f>A250</f>
        <v>Shoulder Press</v>
      </c>
      <c r="B267" s="151">
        <f>B240+28</f>
        <v>40809</v>
      </c>
      <c r="C267" s="151">
        <f>B267+7</f>
        <v>40816</v>
      </c>
      <c r="D267" s="151">
        <f>C267+7</f>
        <v>40823</v>
      </c>
      <c r="E267" s="151">
        <f>D267+7</f>
        <v>40830</v>
      </c>
      <c r="F267" s="75"/>
      <c r="G267" s="75"/>
      <c r="H267" s="75"/>
      <c r="I267" s="86"/>
      <c r="K267" s="86"/>
      <c r="L267" s="86"/>
    </row>
    <row r="268" spans="1:12" ht="15">
      <c r="A268" s="131" t="s">
        <v>34</v>
      </c>
      <c r="B268" s="93">
        <f>IF(WeightFormat="Yes",ROUND(($C250*F248)/Rounding,0)*Rounding,ROUND((($C250*F248)-BarWeight)/2/Rounding,0)*Rounding)</f>
        <v>275</v>
      </c>
      <c r="C268" s="93">
        <f>IF(WeightFormat="Yes",ROUND(($C250*G248)/Rounding,0)*Rounding,ROUND((($C250*G248)-BarWeight)/2/Rounding,0)*Rounding)</f>
        <v>300</v>
      </c>
      <c r="D268" s="93">
        <f>IF(WeightFormat="Yes",ROUND(($C250*H248)/Rounding,0)*Rounding,ROUND((($C250*H248)-BarWeight)/2/Rounding,0)*Rounding)</f>
        <v>320</v>
      </c>
      <c r="E268" s="93">
        <f>IF(WeightFormat="Yes",ROUND(($C250*I248)/Rounding,0)*Rounding,ROUND((($C250*I248)-BarWeight)/2/Rounding,0)*Rounding)</f>
        <v>170</v>
      </c>
      <c r="F268" s="64"/>
      <c r="G268" s="64"/>
      <c r="H268" s="64"/>
      <c r="K268" s="92">
        <f>IF(WeightFormat="Yes",ROUND((C250*BBBPercentage)/Rounding,0)*Rounding,ROUND((($C250*BBBPercentage)-BarWeight)/2/Rounding,0)*Rounding)</f>
        <v>215</v>
      </c>
      <c r="L268" s="93">
        <f>K268</f>
        <v>215</v>
      </c>
    </row>
    <row r="269" spans="1:12" s="134" customFormat="1" ht="15">
      <c r="A269" s="132" t="s">
        <v>35</v>
      </c>
      <c r="B269" s="133">
        <f>IF(WeightFormat="Yes",ROUND(($C250*F249)/Rounding,0)*Rounding,ROUND((($C250*F249)-BarWeight)/2/Rounding,0)*Rounding)</f>
        <v>320</v>
      </c>
      <c r="C269" s="133">
        <f>IF(WeightFormat="Yes",ROUND(($C250*G249)/Rounding,0)*Rounding,ROUND((($C250*G249)-BarWeight)/2/Rounding,0)*Rounding)</f>
        <v>340</v>
      </c>
      <c r="D269" s="133">
        <f>IF(WeightFormat="Yes",ROUND(($C250*H249)/Rounding,0)*Rounding,ROUND((($C250*H249)-BarWeight)/2/Rounding,0)*Rounding)</f>
        <v>365</v>
      </c>
      <c r="E269" s="133">
        <f>IF(WeightFormat="Yes",ROUND(($C250*I249)/Rounding,0)*Rounding,ROUND((($C250*I249)-BarWeight)/2/Rounding,0)*Rounding)</f>
        <v>215</v>
      </c>
      <c r="F269" s="66"/>
      <c r="G269" s="66"/>
      <c r="H269" s="66"/>
      <c r="I269" s="56"/>
      <c r="K269" s="56"/>
      <c r="L269" s="56"/>
    </row>
    <row r="270" spans="1:12" s="137" customFormat="1" ht="15">
      <c r="A270" s="135" t="s">
        <v>36</v>
      </c>
      <c r="B270" s="93">
        <f>IF(WeightFormat="Yes",ROUND(($C250*F250)/Rounding,0)*Rounding,ROUND((($C250*F250)-BarWeight)/2/Rounding,0)*Rounding)</f>
        <v>365</v>
      </c>
      <c r="C270" s="93">
        <f>IF(WeightFormat="Yes",ROUND(($C250*G250)/Rounding,0)*Rounding,ROUND((($C250*G250)-BarWeight)/2/Rounding,0)*Rounding)</f>
        <v>385</v>
      </c>
      <c r="D270" s="93">
        <f>IF(WeightFormat="Yes",ROUND(($C250*H250)/Rounding,0)*Rounding,ROUND((($C250*H250)-BarWeight)/2/Rounding,0)*Rounding)</f>
        <v>405</v>
      </c>
      <c r="E270" s="93">
        <f>IF(WeightFormat="Yes",ROUND(($C250*I250)/Rounding,0)*Rounding,ROUND((($C250*I250)-BarWeight)/2/Rounding,0)*Rounding)</f>
        <v>255</v>
      </c>
      <c r="F270" s="57"/>
      <c r="G270" s="58">
        <f>IF(OR(ISERROR(F271),ISERROR(G271)),0,(G271-F271)/F271)</f>
        <v>0</v>
      </c>
      <c r="H270" s="58">
        <f>IF(OR(ISERROR(G271),ISERROR(H271)),0,(H271-G271)/G271)</f>
        <v>0</v>
      </c>
      <c r="I270" s="59"/>
      <c r="K270" s="59"/>
      <c r="L270" s="59"/>
    </row>
    <row r="271" spans="1:12" s="154" customFormat="1" ht="15.75" thickBot="1">
      <c r="A271" s="153" t="s">
        <v>37</v>
      </c>
      <c r="B271" s="97"/>
      <c r="C271" s="97"/>
      <c r="D271" s="97"/>
      <c r="E271" s="97" t="s">
        <v>15</v>
      </c>
      <c r="F271" s="77" t="e">
        <f>IF(B271=0,NA(),IF(WeightFormat="No",((B270*2)+BarWeight)/(1.0278-(0.0278*B271)),B270/(1.0278-(0.0278*B271))))</f>
        <v>#N/A</v>
      </c>
      <c r="G271" s="77" t="e">
        <f>IF(C271=0,NA(),IF(WeightFormat="No",((C270*2)+BarWeight)/(1.0278-(0.0278*C271)),C270/(1.0278-(0.0278*C271))))</f>
        <v>#N/A</v>
      </c>
      <c r="H271" s="77" t="e">
        <f>IF(D271=0,NA(),IF(WeightFormat="No",((D270*2)+BarWeight)/(1.0278-(0.0278*D271)),D270/(1.0278-(0.0278*D271))))</f>
        <v>#N/A</v>
      </c>
      <c r="I271" s="87"/>
      <c r="K271" s="101" t="str">
        <f>K244</f>
        <v>5 x 10</v>
      </c>
      <c r="L271" s="101" t="str">
        <f>L244</f>
        <v>3 x 10</v>
      </c>
    </row>
    <row r="272" spans="1:12" s="116" customFormat="1" ht="19.5" thickBot="1">
      <c r="A272" s="115" t="s">
        <v>48</v>
      </c>
      <c r="B272" s="206" t="str">
        <f>TEXT(B279,"dd mmm")&amp;" to "&amp;TEXT(E294,"dd mmm yyyy")</f>
        <v>17 Oct to 11 Nov 2011</v>
      </c>
      <c r="C272" s="207"/>
      <c r="D272" s="207"/>
      <c r="E272" s="207"/>
      <c r="F272" s="207"/>
      <c r="G272" s="207"/>
      <c r="H272" s="207"/>
      <c r="I272" s="208"/>
      <c r="K272" s="88"/>
      <c r="L272" s="88"/>
    </row>
    <row r="273" spans="1:12" s="119" customFormat="1" ht="15">
      <c r="A273" s="117" t="s">
        <v>5</v>
      </c>
      <c r="B273" s="118" t="s">
        <v>0</v>
      </c>
      <c r="C273" s="79">
        <v>0.9</v>
      </c>
      <c r="D273" s="209"/>
      <c r="E273" s="210"/>
      <c r="F273" s="215" t="s">
        <v>14</v>
      </c>
      <c r="G273" s="215"/>
      <c r="H273" s="215"/>
      <c r="I273" s="215"/>
      <c r="K273" s="89"/>
      <c r="L273" s="89"/>
    </row>
    <row r="274" spans="1:12" s="122" customFormat="1" ht="15">
      <c r="A274" s="90" t="str">
        <f>ExOne</f>
        <v>Squat</v>
      </c>
      <c r="B274" s="120">
        <f>B247+(IncrOne/C273)</f>
        <v>1170.1111111111109</v>
      </c>
      <c r="C274" s="121">
        <f>B274*$C$3</f>
        <v>1053.1</v>
      </c>
      <c r="D274" s="211"/>
      <c r="E274" s="212"/>
      <c r="F274" s="42" t="s">
        <v>6</v>
      </c>
      <c r="G274" s="43" t="s">
        <v>7</v>
      </c>
      <c r="H274" s="43" t="s">
        <v>12</v>
      </c>
      <c r="I274" s="44" t="s">
        <v>13</v>
      </c>
      <c r="K274" s="90"/>
      <c r="L274" s="90"/>
    </row>
    <row r="275" spans="1:12" s="122" customFormat="1" ht="15">
      <c r="A275" s="90" t="str">
        <f>ExTwo</f>
        <v>Bench Press</v>
      </c>
      <c r="B275" s="120">
        <f>B248+(IncrTwo/C273)</f>
        <v>584.5555555555554</v>
      </c>
      <c r="C275" s="121">
        <f>B275*$C$3</f>
        <v>526.0999999999999</v>
      </c>
      <c r="D275" s="211"/>
      <c r="E275" s="212"/>
      <c r="F275" s="45">
        <v>0.65</v>
      </c>
      <c r="G275" s="45">
        <v>0.7</v>
      </c>
      <c r="H275" s="45">
        <v>0.75</v>
      </c>
      <c r="I275" s="46">
        <v>0.4</v>
      </c>
      <c r="K275" s="90"/>
      <c r="L275" s="90"/>
    </row>
    <row r="276" spans="1:12" s="122" customFormat="1" ht="15">
      <c r="A276" s="90" t="str">
        <f>ExThree</f>
        <v>Deadlift</v>
      </c>
      <c r="B276" s="120">
        <f>B249+(IncrThree/C273)</f>
        <v>958.1111111111109</v>
      </c>
      <c r="C276" s="121">
        <f>B276*$C$3</f>
        <v>862.2999999999998</v>
      </c>
      <c r="D276" s="211"/>
      <c r="E276" s="212"/>
      <c r="F276" s="45">
        <v>0.75</v>
      </c>
      <c r="G276" s="45">
        <v>0.8</v>
      </c>
      <c r="H276" s="45">
        <v>0.85</v>
      </c>
      <c r="I276" s="46">
        <v>0.5</v>
      </c>
      <c r="K276" s="90"/>
      <c r="L276" s="90"/>
    </row>
    <row r="277" spans="1:12" s="119" customFormat="1" ht="15">
      <c r="A277" s="89" t="str">
        <f>ExFour</f>
        <v>Shoulder Press</v>
      </c>
      <c r="B277" s="155">
        <f>B250+(IncrFour/C273)</f>
        <v>479.55555555555543</v>
      </c>
      <c r="C277" s="123">
        <f>B277*$C$3</f>
        <v>431.5999999999999</v>
      </c>
      <c r="D277" s="213"/>
      <c r="E277" s="214"/>
      <c r="F277" s="45">
        <v>0.85</v>
      </c>
      <c r="G277" s="45">
        <v>0.9</v>
      </c>
      <c r="H277" s="45">
        <v>0.95</v>
      </c>
      <c r="I277" s="46">
        <v>0.6</v>
      </c>
      <c r="K277" s="89"/>
      <c r="L277" s="89"/>
    </row>
    <row r="278" spans="1:12" s="126" customFormat="1" ht="15.75" thickBot="1">
      <c r="A278" s="124" t="s">
        <v>5</v>
      </c>
      <c r="B278" s="125"/>
      <c r="C278" s="125"/>
      <c r="D278" s="125"/>
      <c r="E278" s="125"/>
      <c r="F278" s="47"/>
      <c r="G278" s="47"/>
      <c r="H278" s="47"/>
      <c r="I278" s="48"/>
      <c r="K278" s="48"/>
      <c r="L278" s="48"/>
    </row>
    <row r="279" spans="1:12" s="130" customFormat="1" ht="15">
      <c r="A279" s="127" t="str">
        <f>A274</f>
        <v>Squat</v>
      </c>
      <c r="B279" s="128">
        <f>B252+28</f>
        <v>40833</v>
      </c>
      <c r="C279" s="129">
        <f>B279+7</f>
        <v>40840</v>
      </c>
      <c r="D279" s="129">
        <f>C279+7</f>
        <v>40847</v>
      </c>
      <c r="E279" s="129">
        <f>D279+7</f>
        <v>40854</v>
      </c>
      <c r="F279" s="49"/>
      <c r="G279" s="49"/>
      <c r="H279" s="49"/>
      <c r="I279" s="80"/>
      <c r="K279" s="91" t="s">
        <v>55</v>
      </c>
      <c r="L279" s="91" t="s">
        <v>13</v>
      </c>
    </row>
    <row r="280" spans="1:12" ht="15">
      <c r="A280" s="131" t="s">
        <v>34</v>
      </c>
      <c r="B280" s="93">
        <f>IF(WeightFormat="Yes",ROUND(($C274*F275)/Rounding,0)*Rounding,ROUND((($C274*F275)-BarWeight)/2/Rounding,0)*Rounding)</f>
        <v>685</v>
      </c>
      <c r="C280" s="93">
        <f>IF(WeightFormat="Yes",ROUND(($C274*G275)/Rounding,0)*Rounding,ROUND((($C274*G275)-BarWeight)/2/Rounding,0)*Rounding)</f>
        <v>735</v>
      </c>
      <c r="D280" s="93">
        <f>IF(WeightFormat="Yes",ROUND(($C274*H275)/Rounding,0)*Rounding,ROUND((($C274*H275)-BarWeight)/2/Rounding,0)*Rounding)</f>
        <v>790</v>
      </c>
      <c r="E280" s="93">
        <f>IF(WeightFormat="Yes",ROUND(($C274*I275)/Rounding,0)*Rounding,ROUND((($C274*I275)-BarWeight)/2/Rounding,0)*Rounding)</f>
        <v>420</v>
      </c>
      <c r="F280" s="51"/>
      <c r="K280" s="92">
        <f>IF(WeightFormat="Yes",ROUND((C274*BBBPercentage)/Rounding,0)*Rounding,ROUND((($C274*BBBPercentage)-BarWeight)/2/Rounding,0)*Rounding)</f>
        <v>525</v>
      </c>
      <c r="L280" s="93">
        <f>K280</f>
        <v>525</v>
      </c>
    </row>
    <row r="281" spans="1:12" s="134" customFormat="1" ht="15">
      <c r="A281" s="132" t="s">
        <v>35</v>
      </c>
      <c r="B281" s="133">
        <f>IF(WeightFormat="Yes",ROUND(($C274*F276)/Rounding,0)*Rounding,ROUND((($C274*F276)-BarWeight)/2/Rounding,0)*Rounding)</f>
        <v>790</v>
      </c>
      <c r="C281" s="133">
        <f>IF(WeightFormat="Yes",ROUND(($C274*G276)/Rounding,0)*Rounding,ROUND((($C274*G276)-BarWeight)/2/Rounding,0)*Rounding)</f>
        <v>840</v>
      </c>
      <c r="D281" s="133">
        <f>IF(WeightFormat="Yes",ROUND(($C274*H276)/Rounding,0)*Rounding,ROUND((($C274*H276)-BarWeight)/2/Rounding,0)*Rounding)</f>
        <v>895</v>
      </c>
      <c r="E281" s="133">
        <f>IF(WeightFormat="Yes",ROUND(($C274*I276)/Rounding,0)*Rounding,ROUND((($C274*I276)-BarWeight)/2/Rounding,0)*Rounding)</f>
        <v>525</v>
      </c>
      <c r="F281" s="54"/>
      <c r="G281" s="55"/>
      <c r="H281" s="55"/>
      <c r="I281" s="56"/>
      <c r="K281" s="56"/>
      <c r="L281" s="56"/>
    </row>
    <row r="282" spans="1:12" s="137" customFormat="1" ht="15">
      <c r="A282" s="135" t="s">
        <v>36</v>
      </c>
      <c r="B282" s="136">
        <f>IF(WeightFormat="Yes",ROUND(($C274*F277)/Rounding,0)*Rounding,ROUND((($C274*F277)-BarWeight)/2/Rounding,0)*Rounding)</f>
        <v>895</v>
      </c>
      <c r="C282" s="136">
        <f>IF(WeightFormat="Yes",ROUND(($C274*G277)/Rounding,0)*Rounding,ROUND((($C274*G277)-BarWeight)/2/Rounding,0)*Rounding)</f>
        <v>950</v>
      </c>
      <c r="D282" s="136">
        <f>IF(WeightFormat="Yes",ROUND(($C274*H277)/Rounding,0)*Rounding,ROUND((($C274*H277)-BarWeight)/2/Rounding,0)*Rounding)</f>
        <v>1000</v>
      </c>
      <c r="E282" s="136">
        <f>IF(WeightFormat="Yes",ROUND(($C274*I277)/Rounding,0)*Rounding,ROUND((($C274*I277)-BarWeight)/2/Rounding,0)*Rounding)</f>
        <v>630</v>
      </c>
      <c r="F282" s="57"/>
      <c r="G282" s="58">
        <f>IF(OR(ISERROR(F283),ISERROR(G283)),0,(G283-F283)/F283)</f>
        <v>0</v>
      </c>
      <c r="H282" s="58">
        <f>IF(OR(ISERROR(G283),ISERROR(H283)),0,(H283-G283)/G283)</f>
        <v>0</v>
      </c>
      <c r="I282" s="59"/>
      <c r="K282" s="59"/>
      <c r="L282" s="59"/>
    </row>
    <row r="283" spans="1:12" s="139" customFormat="1" ht="15.75" thickBot="1">
      <c r="A283" s="138" t="s">
        <v>37</v>
      </c>
      <c r="B283" s="94"/>
      <c r="C283" s="94"/>
      <c r="D283" s="94"/>
      <c r="E283" s="94" t="s">
        <v>15</v>
      </c>
      <c r="F283" s="60" t="e">
        <f>IF(B283=0,NA(),IF(WeightFormat="No",((B282*2)+BarWeight)/(1.0278-(0.0278*B283)),B282/(1.0278-(0.0278*B283))))</f>
        <v>#N/A</v>
      </c>
      <c r="G283" s="60" t="e">
        <f>IF(C283=0,NA(),IF(WeightFormat="No",((C282*2)+BarWeight)/(1.0278-(0.0278*C283)),C282/(1.0278-(0.0278*C283))))</f>
        <v>#N/A</v>
      </c>
      <c r="H283" s="60" t="e">
        <f>IF(D283=0,NA(),IF(WeightFormat="No",((D282*2)+BarWeight)/(1.0278-(0.0278*D283)),D282/(1.0278-(0.0278*D283))))</f>
        <v>#N/A</v>
      </c>
      <c r="I283" s="81"/>
      <c r="K283" s="98" t="str">
        <f>K256</f>
        <v>5 x 10</v>
      </c>
      <c r="L283" s="98" t="str">
        <f>L256</f>
        <v>3 x 10</v>
      </c>
    </row>
    <row r="284" spans="1:12" s="142" customFormat="1" ht="15">
      <c r="A284" s="140" t="str">
        <f>A275</f>
        <v>Bench Press</v>
      </c>
      <c r="B284" s="141">
        <f>B257+28</f>
        <v>40835</v>
      </c>
      <c r="C284" s="141">
        <f>B284+7</f>
        <v>40842</v>
      </c>
      <c r="D284" s="141">
        <f>C284+7</f>
        <v>40849</v>
      </c>
      <c r="E284" s="141">
        <f>D284+7</f>
        <v>40856</v>
      </c>
      <c r="F284" s="62"/>
      <c r="G284" s="62"/>
      <c r="H284" s="62"/>
      <c r="I284" s="82"/>
      <c r="K284" s="82"/>
      <c r="L284" s="82"/>
    </row>
    <row r="285" spans="1:12" ht="15">
      <c r="A285" s="131" t="s">
        <v>34</v>
      </c>
      <c r="B285" s="93">
        <f>IF(WeightFormat="Yes",ROUND(($C275*F275)/Rounding,0)*Rounding,ROUND((($C275*F275)-BarWeight)/2/Rounding,0)*Rounding)</f>
        <v>340</v>
      </c>
      <c r="C285" s="93">
        <f>IF(WeightFormat="Yes",ROUND(($C275*G275)/Rounding,0)*Rounding,ROUND((($C275*G275)-BarWeight)/2/Rounding,0)*Rounding)</f>
        <v>370</v>
      </c>
      <c r="D285" s="93">
        <f>IF(WeightFormat="Yes",ROUND(($C275*H275)/Rounding,0)*Rounding,ROUND((($C275*H275)-BarWeight)/2/Rounding,0)*Rounding)</f>
        <v>395</v>
      </c>
      <c r="E285" s="93">
        <f>IF(WeightFormat="Yes",ROUND(($C275*I275)/Rounding,0)*Rounding,ROUND((($C275*I275)-BarWeight)/2/Rounding,0)*Rounding)</f>
        <v>210</v>
      </c>
      <c r="F285" s="64"/>
      <c r="G285" s="64"/>
      <c r="H285" s="64"/>
      <c r="K285" s="92">
        <f>IF(WeightFormat="Yes",ROUND((C275*BBBPercentage)/Rounding,0)*Rounding,ROUND((($C275*BBBPercentage)-BarWeight)/2/Rounding,0)*Rounding)</f>
        <v>265</v>
      </c>
      <c r="L285" s="93">
        <f>K285</f>
        <v>265</v>
      </c>
    </row>
    <row r="286" spans="1:12" s="134" customFormat="1" ht="15">
      <c r="A286" s="132" t="s">
        <v>35</v>
      </c>
      <c r="B286" s="133">
        <f>IF(WeightFormat="Yes",ROUND(($C275*F276)/Rounding,0)*Rounding,ROUND((($C275*F276)-BarWeight)/2/Rounding,0)*Rounding)</f>
        <v>395</v>
      </c>
      <c r="C286" s="133">
        <f>IF(WeightFormat="Yes",ROUND(($C275*G276)/Rounding,0)*Rounding,ROUND((($C275*G276)-BarWeight)/2/Rounding,0)*Rounding)</f>
        <v>420</v>
      </c>
      <c r="D286" s="133">
        <f>IF(WeightFormat="Yes",ROUND(($C275*H276)/Rounding,0)*Rounding,ROUND((($C275*H276)-BarWeight)/2/Rounding,0)*Rounding)</f>
        <v>445</v>
      </c>
      <c r="E286" s="133">
        <f>IF(WeightFormat="Yes",ROUND(($C275*I276)/Rounding,0)*Rounding,ROUND((($C275*I276)-BarWeight)/2/Rounding,0)*Rounding)</f>
        <v>265</v>
      </c>
      <c r="F286" s="66"/>
      <c r="G286" s="66"/>
      <c r="H286" s="66"/>
      <c r="I286" s="56"/>
      <c r="K286" s="56"/>
      <c r="L286" s="56"/>
    </row>
    <row r="287" spans="1:12" s="137" customFormat="1" ht="15">
      <c r="A287" s="135" t="s">
        <v>36</v>
      </c>
      <c r="B287" s="136">
        <f>IF(WeightFormat="Yes",ROUND(($C275*F277)/Rounding,0)*Rounding,ROUND((($C275*F277)-BarWeight)/2/Rounding,0)*Rounding)</f>
        <v>445</v>
      </c>
      <c r="C287" s="136">
        <f>IF(WeightFormat="Yes",ROUND(($C275*G277)/Rounding,0)*Rounding,ROUND((($C275*G277)-BarWeight)/2/Rounding,0)*Rounding)</f>
        <v>475</v>
      </c>
      <c r="D287" s="136">
        <f>IF(WeightFormat="Yes",ROUND(($C275*H277)/Rounding,0)*Rounding,ROUND((($C275*H277)-BarWeight)/2/Rounding,0)*Rounding)</f>
        <v>500</v>
      </c>
      <c r="E287" s="136">
        <f>IF(WeightFormat="Yes",ROUND(($C275*I277)/Rounding,0)*Rounding,ROUND((($C275*I277)-BarWeight)/2/Rounding,0)*Rounding)</f>
        <v>315</v>
      </c>
      <c r="F287" s="57"/>
      <c r="G287" s="58">
        <f>IF(OR(ISERROR(F288),ISERROR(G288)),0,(G288-F288)/F288)</f>
        <v>0</v>
      </c>
      <c r="H287" s="58">
        <f>IF(OR(ISERROR(G288),ISERROR(H288)),0,(H288-G288)/G288)</f>
        <v>0</v>
      </c>
      <c r="I287" s="59"/>
      <c r="K287" s="59"/>
      <c r="L287" s="59"/>
    </row>
    <row r="288" spans="1:12" s="144" customFormat="1" ht="15.75" thickBot="1">
      <c r="A288" s="143" t="s">
        <v>37</v>
      </c>
      <c r="B288" s="95"/>
      <c r="C288" s="95"/>
      <c r="D288" s="95"/>
      <c r="E288" s="95" t="s">
        <v>15</v>
      </c>
      <c r="F288" s="69" t="e">
        <f>IF(B288=0,NA(),IF(WeightFormat="No",((B287*2)+BarWeight)/(1.0278-(0.0278*B288)),B287/(1.0278-(0.0278*B288))))</f>
        <v>#N/A</v>
      </c>
      <c r="G288" s="69" t="e">
        <f>IF(C288=0,NA(),IF(WeightFormat="No",((C287*2)+BarWeight)/(1.0278-(0.0278*C288)),C287/(1.0278-(0.0278*C288))))</f>
        <v>#N/A</v>
      </c>
      <c r="H288" s="69" t="e">
        <f>IF(D288=0,NA(),IF(WeightFormat="No",((D287*2)+BarWeight)/(1.0278-(0.0278*D288)),D287/(1.0278-(0.0278*D288))))</f>
        <v>#N/A</v>
      </c>
      <c r="I288" s="83"/>
      <c r="K288" s="99" t="str">
        <f>K261</f>
        <v>5 x 10</v>
      </c>
      <c r="L288" s="99" t="str">
        <f>L261</f>
        <v>3 x 10</v>
      </c>
    </row>
    <row r="289" spans="1:12" s="147" customFormat="1" ht="15">
      <c r="A289" s="145" t="str">
        <f>A276</f>
        <v>Deadlift</v>
      </c>
      <c r="B289" s="146">
        <f>B262+28</f>
        <v>40836</v>
      </c>
      <c r="C289" s="146">
        <f>B289+7</f>
        <v>40843</v>
      </c>
      <c r="D289" s="146">
        <f>C289+7</f>
        <v>40850</v>
      </c>
      <c r="E289" s="146">
        <f>D289+7</f>
        <v>40857</v>
      </c>
      <c r="F289" s="71"/>
      <c r="G289" s="71"/>
      <c r="H289" s="71"/>
      <c r="I289" s="84"/>
      <c r="K289" s="84"/>
      <c r="L289" s="84"/>
    </row>
    <row r="290" spans="1:12" ht="15">
      <c r="A290" s="131" t="s">
        <v>34</v>
      </c>
      <c r="B290" s="93">
        <f>IF(WeightFormat="Yes",ROUND(($C276*F275)/Rounding,0)*Rounding,ROUND((($C276*F275)-BarWeight)/2/Rounding,0)*Rounding)</f>
        <v>560</v>
      </c>
      <c r="C290" s="93">
        <f>IF(WeightFormat="Yes",ROUND(($C276*G275)/Rounding,0)*Rounding,ROUND((($C276*G275)-BarWeight)/2/Rounding,0)*Rounding)</f>
        <v>605</v>
      </c>
      <c r="D290" s="93">
        <f>IF(WeightFormat="Yes",ROUND(($C276*H275)/Rounding,0)*Rounding,ROUND((($C276*H275)-BarWeight)/2/Rounding,0)*Rounding)</f>
        <v>645</v>
      </c>
      <c r="E290" s="93">
        <f>IF(WeightFormat="Yes",ROUND(($C276*I275)/Rounding,0)*Rounding,ROUND((($C276*I275)-BarWeight)/2/Rounding,0)*Rounding)</f>
        <v>345</v>
      </c>
      <c r="F290" s="64"/>
      <c r="G290" s="64"/>
      <c r="H290" s="64"/>
      <c r="K290" s="92">
        <f>IF(WeightFormat="Yes",ROUND((C276*BBBPercentage)/Rounding,0)*Rounding,ROUND((($C276*BBBPercentage)-BarWeight)/2/Rounding,0)*Rounding)</f>
        <v>430</v>
      </c>
      <c r="L290" s="93">
        <f>K290</f>
        <v>430</v>
      </c>
    </row>
    <row r="291" spans="1:12" s="134" customFormat="1" ht="15">
      <c r="A291" s="132" t="s">
        <v>35</v>
      </c>
      <c r="B291" s="133">
        <f>IF(WeightFormat="Yes",ROUND(($C276*F276)/Rounding,0)*Rounding,ROUND((($C276*F276)-BarWeight)/2/Rounding,0)*Rounding)</f>
        <v>645</v>
      </c>
      <c r="C291" s="133">
        <f>IF(WeightFormat="Yes",ROUND(($C276*G276)/Rounding,0)*Rounding,ROUND((($C276*G276)-BarWeight)/2/Rounding,0)*Rounding)</f>
        <v>690</v>
      </c>
      <c r="D291" s="133">
        <f>IF(WeightFormat="Yes",ROUND(($C276*H276)/Rounding,0)*Rounding,ROUND((($C276*H276)-BarWeight)/2/Rounding,0)*Rounding)</f>
        <v>735</v>
      </c>
      <c r="E291" s="133">
        <f>IF(WeightFormat="Yes",ROUND(($C276*I276)/Rounding,0)*Rounding,ROUND((($C276*I276)-BarWeight)/2/Rounding,0)*Rounding)</f>
        <v>430</v>
      </c>
      <c r="F291" s="66"/>
      <c r="G291" s="66"/>
      <c r="H291" s="66"/>
      <c r="I291" s="56"/>
      <c r="K291" s="56"/>
      <c r="L291" s="56"/>
    </row>
    <row r="292" spans="1:12" s="137" customFormat="1" ht="15">
      <c r="A292" s="135" t="s">
        <v>36</v>
      </c>
      <c r="B292" s="136">
        <f>IF(WeightFormat="Yes",ROUND(($C276*F277)/Rounding,0)*Rounding,ROUND((($C276*F277)-BarWeight)/2/Rounding,0)*Rounding)</f>
        <v>735</v>
      </c>
      <c r="C292" s="136">
        <f>IF(WeightFormat="Yes",ROUND(($C276*G277)/Rounding,0)*Rounding,ROUND((($C276*G277)-BarWeight)/2/Rounding,0)*Rounding)</f>
        <v>775</v>
      </c>
      <c r="D292" s="136">
        <f>IF(WeightFormat="Yes",ROUND(($C276*H277)/Rounding,0)*Rounding,ROUND((($C276*H277)-BarWeight)/2/Rounding,0)*Rounding)</f>
        <v>820</v>
      </c>
      <c r="E292" s="136">
        <f>IF(WeightFormat="Yes",ROUND(($C276*I277)/Rounding,0)*Rounding,ROUND((($C276*I277)-BarWeight)/2/Rounding,0)*Rounding)</f>
        <v>515</v>
      </c>
      <c r="F292" s="57"/>
      <c r="G292" s="58">
        <f>IF(OR(ISERROR(F293),ISERROR(G293)),0,(G293-F293)/F293)</f>
        <v>0</v>
      </c>
      <c r="H292" s="58">
        <f>IF(OR(ISERROR(G293),ISERROR(H293)),0,(H293-G293)/G293)</f>
        <v>0</v>
      </c>
      <c r="I292" s="59"/>
      <c r="K292" s="59"/>
      <c r="L292" s="59"/>
    </row>
    <row r="293" spans="1:12" s="149" customFormat="1" ht="15.75" thickBot="1">
      <c r="A293" s="148" t="s">
        <v>37</v>
      </c>
      <c r="B293" s="96"/>
      <c r="C293" s="96"/>
      <c r="D293" s="96"/>
      <c r="E293" s="96" t="s">
        <v>15</v>
      </c>
      <c r="F293" s="73" t="e">
        <f>IF(B293=0,NA(),IF(WeightFormat="No",((B292*2)+BarWeight)/(1.0278-(0.0278*B293)),B292/(1.0278-(0.0278*B293))))</f>
        <v>#N/A</v>
      </c>
      <c r="G293" s="73" t="e">
        <f>IF(C293=0,NA(),IF(WeightFormat="No",((C292*2)+BarWeight)/(1.0278-(0.0278*C293)),C292/(1.0278-(0.0278*C293))))</f>
        <v>#N/A</v>
      </c>
      <c r="H293" s="73" t="e">
        <f>IF(D293=0,NA(),IF(WeightFormat="No",((D292*2)+BarWeight)/(1.0278-(0.0278*D293)),D292/(1.0278-(0.0278*D293))))</f>
        <v>#N/A</v>
      </c>
      <c r="I293" s="85"/>
      <c r="K293" s="100" t="str">
        <f>K266</f>
        <v>5 x 8</v>
      </c>
      <c r="L293" s="100" t="str">
        <f>L266</f>
        <v>3 x 8</v>
      </c>
    </row>
    <row r="294" spans="1:12" s="152" customFormat="1" ht="15">
      <c r="A294" s="150" t="str">
        <f>A277</f>
        <v>Shoulder Press</v>
      </c>
      <c r="B294" s="151">
        <f>B267+28</f>
        <v>40837</v>
      </c>
      <c r="C294" s="151">
        <f>B294+7</f>
        <v>40844</v>
      </c>
      <c r="D294" s="151">
        <f>C294+7</f>
        <v>40851</v>
      </c>
      <c r="E294" s="151">
        <f>D294+7</f>
        <v>40858</v>
      </c>
      <c r="F294" s="75"/>
      <c r="G294" s="75"/>
      <c r="H294" s="75"/>
      <c r="I294" s="86"/>
      <c r="K294" s="86"/>
      <c r="L294" s="86"/>
    </row>
    <row r="295" spans="1:12" ht="15">
      <c r="A295" s="131" t="s">
        <v>34</v>
      </c>
      <c r="B295" s="93">
        <f>IF(WeightFormat="Yes",ROUND(($C277*F275)/Rounding,0)*Rounding,ROUND((($C277*F275)-BarWeight)/2/Rounding,0)*Rounding)</f>
        <v>280</v>
      </c>
      <c r="C295" s="93">
        <f>IF(WeightFormat="Yes",ROUND(($C277*G275)/Rounding,0)*Rounding,ROUND((($C277*G275)-BarWeight)/2/Rounding,0)*Rounding)</f>
        <v>300</v>
      </c>
      <c r="D295" s="93">
        <f>IF(WeightFormat="Yes",ROUND(($C277*H275)/Rounding,0)*Rounding,ROUND((($C277*H275)-BarWeight)/2/Rounding,0)*Rounding)</f>
        <v>325</v>
      </c>
      <c r="E295" s="93">
        <f>IF(WeightFormat="Yes",ROUND(($C277*I275)/Rounding,0)*Rounding,ROUND((($C277*I275)-BarWeight)/2/Rounding,0)*Rounding)</f>
        <v>175</v>
      </c>
      <c r="F295" s="64"/>
      <c r="G295" s="64"/>
      <c r="H295" s="64"/>
      <c r="K295" s="92">
        <f>IF(WeightFormat="Yes",ROUND((C277*BBBPercentage)/Rounding,0)*Rounding,ROUND((($C277*BBBPercentage)-BarWeight)/2/Rounding,0)*Rounding)</f>
        <v>215</v>
      </c>
      <c r="L295" s="93">
        <f>K295</f>
        <v>215</v>
      </c>
    </row>
    <row r="296" spans="1:12" s="134" customFormat="1" ht="15">
      <c r="A296" s="132" t="s">
        <v>35</v>
      </c>
      <c r="B296" s="133">
        <f>IF(WeightFormat="Yes",ROUND(($C277*F276)/Rounding,0)*Rounding,ROUND((($C277*F276)-BarWeight)/2/Rounding,0)*Rounding)</f>
        <v>325</v>
      </c>
      <c r="C296" s="133">
        <f>IF(WeightFormat="Yes",ROUND(($C277*G276)/Rounding,0)*Rounding,ROUND((($C277*G276)-BarWeight)/2/Rounding,0)*Rounding)</f>
        <v>345</v>
      </c>
      <c r="D296" s="133">
        <f>IF(WeightFormat="Yes",ROUND(($C277*H276)/Rounding,0)*Rounding,ROUND((($C277*H276)-BarWeight)/2/Rounding,0)*Rounding)</f>
        <v>365</v>
      </c>
      <c r="E296" s="133">
        <f>IF(WeightFormat="Yes",ROUND(($C277*I276)/Rounding,0)*Rounding,ROUND((($C277*I276)-BarWeight)/2/Rounding,0)*Rounding)</f>
        <v>215</v>
      </c>
      <c r="F296" s="66"/>
      <c r="G296" s="66"/>
      <c r="H296" s="66"/>
      <c r="I296" s="56"/>
      <c r="K296" s="56"/>
      <c r="L296" s="56"/>
    </row>
    <row r="297" spans="1:12" s="137" customFormat="1" ht="15">
      <c r="A297" s="135" t="s">
        <v>36</v>
      </c>
      <c r="B297" s="93">
        <f>IF(WeightFormat="Yes",ROUND(($C277*F277)/Rounding,0)*Rounding,ROUND((($C277*F277)-BarWeight)/2/Rounding,0)*Rounding)</f>
        <v>365</v>
      </c>
      <c r="C297" s="93">
        <f>IF(WeightFormat="Yes",ROUND(($C277*G277)/Rounding,0)*Rounding,ROUND((($C277*G277)-BarWeight)/2/Rounding,0)*Rounding)</f>
        <v>390</v>
      </c>
      <c r="D297" s="93">
        <f>IF(WeightFormat="Yes",ROUND(($C277*H277)/Rounding,0)*Rounding,ROUND((($C277*H277)-BarWeight)/2/Rounding,0)*Rounding)</f>
        <v>410</v>
      </c>
      <c r="E297" s="93">
        <f>IF(WeightFormat="Yes",ROUND(($C277*I277)/Rounding,0)*Rounding,ROUND((($C277*I277)-BarWeight)/2/Rounding,0)*Rounding)</f>
        <v>260</v>
      </c>
      <c r="F297" s="57"/>
      <c r="G297" s="58">
        <f>IF(OR(ISERROR(F298),ISERROR(G298)),0,(G298-F298)/F298)</f>
        <v>0</v>
      </c>
      <c r="H297" s="58">
        <f>IF(OR(ISERROR(G298),ISERROR(H298)),0,(H298-G298)/G298)</f>
        <v>0</v>
      </c>
      <c r="I297" s="59"/>
      <c r="K297" s="59"/>
      <c r="L297" s="59"/>
    </row>
    <row r="298" spans="1:12" s="154" customFormat="1" ht="15.75" thickBot="1">
      <c r="A298" s="153" t="s">
        <v>37</v>
      </c>
      <c r="B298" s="97"/>
      <c r="C298" s="97"/>
      <c r="D298" s="97"/>
      <c r="E298" s="97" t="s">
        <v>15</v>
      </c>
      <c r="F298" s="77" t="e">
        <f>IF(B298=0,NA(),IF(WeightFormat="No",((B297*2)+BarWeight)/(1.0278-(0.0278*B298)),B297/(1.0278-(0.0278*B298))))</f>
        <v>#N/A</v>
      </c>
      <c r="G298" s="77" t="e">
        <f>IF(C298=0,NA(),IF(WeightFormat="No",((C297*2)+BarWeight)/(1.0278-(0.0278*C298)),C297/(1.0278-(0.0278*C298))))</f>
        <v>#N/A</v>
      </c>
      <c r="H298" s="77" t="e">
        <f>IF(D298=0,NA(),IF(WeightFormat="No",((D297*2)+BarWeight)/(1.0278-(0.0278*D298)),D297/(1.0278-(0.0278*D298))))</f>
        <v>#N/A</v>
      </c>
      <c r="I298" s="87"/>
      <c r="K298" s="101" t="str">
        <f>K271</f>
        <v>5 x 10</v>
      </c>
      <c r="L298" s="101" t="str">
        <f>L271</f>
        <v>3 x 10</v>
      </c>
    </row>
    <row r="299" spans="1:12" s="116" customFormat="1" ht="19.5" thickBot="1">
      <c r="A299" s="115" t="s">
        <v>49</v>
      </c>
      <c r="B299" s="206" t="str">
        <f>TEXT(B306,"dd mmm")&amp;" to "&amp;TEXT(E321,"dd mmm yyyy")</f>
        <v>14 Nov to 09 Dec 2011</v>
      </c>
      <c r="C299" s="207"/>
      <c r="D299" s="207"/>
      <c r="E299" s="207"/>
      <c r="F299" s="207"/>
      <c r="G299" s="207"/>
      <c r="H299" s="207"/>
      <c r="I299" s="208"/>
      <c r="K299" s="88"/>
      <c r="L299" s="88"/>
    </row>
    <row r="300" spans="1:12" s="119" customFormat="1" ht="15">
      <c r="A300" s="117" t="s">
        <v>5</v>
      </c>
      <c r="B300" s="118" t="s">
        <v>0</v>
      </c>
      <c r="C300" s="79">
        <v>0.9</v>
      </c>
      <c r="D300" s="209"/>
      <c r="E300" s="210"/>
      <c r="F300" s="215" t="s">
        <v>14</v>
      </c>
      <c r="G300" s="215"/>
      <c r="H300" s="215"/>
      <c r="I300" s="215"/>
      <c r="K300" s="89"/>
      <c r="L300" s="89"/>
    </row>
    <row r="301" spans="1:12" s="122" customFormat="1" ht="15">
      <c r="A301" s="90" t="str">
        <f>ExOne</f>
        <v>Squat</v>
      </c>
      <c r="B301" s="120">
        <f>B274+(IncrOne/C300)</f>
        <v>1181.222222222222</v>
      </c>
      <c r="C301" s="121">
        <f>B301*$C$3</f>
        <v>1063.0999999999997</v>
      </c>
      <c r="D301" s="211"/>
      <c r="E301" s="212"/>
      <c r="F301" s="42" t="s">
        <v>6</v>
      </c>
      <c r="G301" s="43" t="s">
        <v>7</v>
      </c>
      <c r="H301" s="43" t="s">
        <v>12</v>
      </c>
      <c r="I301" s="44" t="s">
        <v>13</v>
      </c>
      <c r="K301" s="90"/>
      <c r="L301" s="90"/>
    </row>
    <row r="302" spans="1:12" s="122" customFormat="1" ht="15">
      <c r="A302" s="90" t="str">
        <f>ExTwo</f>
        <v>Bench Press</v>
      </c>
      <c r="B302" s="120">
        <f>B275+(IncrTwo/C300)</f>
        <v>590.111111111111</v>
      </c>
      <c r="C302" s="121">
        <f>B302*$C$3</f>
        <v>531.0999999999999</v>
      </c>
      <c r="D302" s="211"/>
      <c r="E302" s="212"/>
      <c r="F302" s="45">
        <v>0.65</v>
      </c>
      <c r="G302" s="45">
        <v>0.7</v>
      </c>
      <c r="H302" s="45">
        <v>0.75</v>
      </c>
      <c r="I302" s="46">
        <v>0.4</v>
      </c>
      <c r="K302" s="90"/>
      <c r="L302" s="90"/>
    </row>
    <row r="303" spans="1:12" s="122" customFormat="1" ht="15">
      <c r="A303" s="90" t="str">
        <f>ExThree</f>
        <v>Deadlift</v>
      </c>
      <c r="B303" s="120">
        <f>B276+(IncrThree/C300)</f>
        <v>969.222222222222</v>
      </c>
      <c r="C303" s="121">
        <f>B303*$C$3</f>
        <v>872.2999999999997</v>
      </c>
      <c r="D303" s="211"/>
      <c r="E303" s="212"/>
      <c r="F303" s="45">
        <v>0.75</v>
      </c>
      <c r="G303" s="45">
        <v>0.8</v>
      </c>
      <c r="H303" s="45">
        <v>0.85</v>
      </c>
      <c r="I303" s="46">
        <v>0.5</v>
      </c>
      <c r="K303" s="90"/>
      <c r="L303" s="90"/>
    </row>
    <row r="304" spans="1:12" s="119" customFormat="1" ht="15">
      <c r="A304" s="89" t="str">
        <f>ExFour</f>
        <v>Shoulder Press</v>
      </c>
      <c r="B304" s="155">
        <f>B277+(IncrFour/C300)</f>
        <v>485.111111111111</v>
      </c>
      <c r="C304" s="123">
        <f>B304*$C$3</f>
        <v>436.5999999999999</v>
      </c>
      <c r="D304" s="213"/>
      <c r="E304" s="214"/>
      <c r="F304" s="45">
        <v>0.85</v>
      </c>
      <c r="G304" s="45">
        <v>0.9</v>
      </c>
      <c r="H304" s="45">
        <v>0.95</v>
      </c>
      <c r="I304" s="46">
        <v>0.6</v>
      </c>
      <c r="K304" s="89"/>
      <c r="L304" s="89"/>
    </row>
    <row r="305" spans="1:12" s="126" customFormat="1" ht="15.75" thickBot="1">
      <c r="A305" s="124" t="s">
        <v>5</v>
      </c>
      <c r="B305" s="125"/>
      <c r="C305" s="125"/>
      <c r="D305" s="125"/>
      <c r="E305" s="125"/>
      <c r="F305" s="47"/>
      <c r="G305" s="47"/>
      <c r="H305" s="47"/>
      <c r="I305" s="48"/>
      <c r="K305" s="48"/>
      <c r="L305" s="48"/>
    </row>
    <row r="306" spans="1:12" s="130" customFormat="1" ht="15">
      <c r="A306" s="127" t="str">
        <f>A301</f>
        <v>Squat</v>
      </c>
      <c r="B306" s="128">
        <f>B279+28</f>
        <v>40861</v>
      </c>
      <c r="C306" s="129">
        <f>B306+7</f>
        <v>40868</v>
      </c>
      <c r="D306" s="129">
        <f>C306+7</f>
        <v>40875</v>
      </c>
      <c r="E306" s="129">
        <f>D306+7</f>
        <v>40882</v>
      </c>
      <c r="F306" s="49"/>
      <c r="G306" s="49"/>
      <c r="H306" s="49"/>
      <c r="I306" s="80"/>
      <c r="K306" s="91" t="s">
        <v>55</v>
      </c>
      <c r="L306" s="91" t="s">
        <v>13</v>
      </c>
    </row>
    <row r="307" spans="1:12" ht="15">
      <c r="A307" s="131" t="s">
        <v>34</v>
      </c>
      <c r="B307" s="93">
        <f>IF(WeightFormat="Yes",ROUND(($C301*F302)/Rounding,0)*Rounding,ROUND((($C301*F302)-BarWeight)/2/Rounding,0)*Rounding)</f>
        <v>690</v>
      </c>
      <c r="C307" s="93">
        <f>IF(WeightFormat="Yes",ROUND(($C301*G302)/Rounding,0)*Rounding,ROUND((($C301*G302)-BarWeight)/2/Rounding,0)*Rounding)</f>
        <v>745</v>
      </c>
      <c r="D307" s="93">
        <f>IF(WeightFormat="Yes",ROUND(($C301*H302)/Rounding,0)*Rounding,ROUND((($C301*H302)-BarWeight)/2/Rounding,0)*Rounding)</f>
        <v>795</v>
      </c>
      <c r="E307" s="93">
        <f>IF(WeightFormat="Yes",ROUND(($C301*I302)/Rounding,0)*Rounding,ROUND((($C301*I302)-BarWeight)/2/Rounding,0)*Rounding)</f>
        <v>425</v>
      </c>
      <c r="F307" s="51"/>
      <c r="K307" s="92">
        <f>IF(WeightFormat="Yes",ROUND((C301*BBBPercentage)/Rounding,0)*Rounding,ROUND((($C301*BBBPercentage)-BarWeight)/2/Rounding,0)*Rounding)</f>
        <v>530</v>
      </c>
      <c r="L307" s="93">
        <f>K307</f>
        <v>530</v>
      </c>
    </row>
    <row r="308" spans="1:12" s="134" customFormat="1" ht="15">
      <c r="A308" s="132" t="s">
        <v>35</v>
      </c>
      <c r="B308" s="133">
        <f>IF(WeightFormat="Yes",ROUND(($C301*F303)/Rounding,0)*Rounding,ROUND((($C301*F303)-BarWeight)/2/Rounding,0)*Rounding)</f>
        <v>795</v>
      </c>
      <c r="C308" s="133">
        <f>IF(WeightFormat="Yes",ROUND(($C301*G303)/Rounding,0)*Rounding,ROUND((($C301*G303)-BarWeight)/2/Rounding,0)*Rounding)</f>
        <v>850</v>
      </c>
      <c r="D308" s="133">
        <f>IF(WeightFormat="Yes",ROUND(($C301*H303)/Rounding,0)*Rounding,ROUND((($C301*H303)-BarWeight)/2/Rounding,0)*Rounding)</f>
        <v>905</v>
      </c>
      <c r="E308" s="133">
        <f>IF(WeightFormat="Yes",ROUND(($C301*I303)/Rounding,0)*Rounding,ROUND((($C301*I303)-BarWeight)/2/Rounding,0)*Rounding)</f>
        <v>530</v>
      </c>
      <c r="F308" s="54"/>
      <c r="G308" s="55"/>
      <c r="H308" s="55"/>
      <c r="I308" s="56"/>
      <c r="K308" s="56"/>
      <c r="L308" s="56"/>
    </row>
    <row r="309" spans="1:12" s="137" customFormat="1" ht="15">
      <c r="A309" s="135" t="s">
        <v>36</v>
      </c>
      <c r="B309" s="136">
        <f>IF(WeightFormat="Yes",ROUND(($C301*F304)/Rounding,0)*Rounding,ROUND((($C301*F304)-BarWeight)/2/Rounding,0)*Rounding)</f>
        <v>905</v>
      </c>
      <c r="C309" s="136">
        <f>IF(WeightFormat="Yes",ROUND(($C301*G304)/Rounding,0)*Rounding,ROUND((($C301*G304)-BarWeight)/2/Rounding,0)*Rounding)</f>
        <v>955</v>
      </c>
      <c r="D309" s="136">
        <f>IF(WeightFormat="Yes",ROUND(($C301*H304)/Rounding,0)*Rounding,ROUND((($C301*H304)-BarWeight)/2/Rounding,0)*Rounding)</f>
        <v>1010</v>
      </c>
      <c r="E309" s="136">
        <f>IF(WeightFormat="Yes",ROUND(($C301*I304)/Rounding,0)*Rounding,ROUND((($C301*I304)-BarWeight)/2/Rounding,0)*Rounding)</f>
        <v>640</v>
      </c>
      <c r="F309" s="57"/>
      <c r="G309" s="58">
        <f>IF(OR(ISERROR(F310),ISERROR(G310)),0,(G310-F310)/F310)</f>
        <v>0</v>
      </c>
      <c r="H309" s="58">
        <f>IF(OR(ISERROR(G310),ISERROR(H310)),0,(H310-G310)/G310)</f>
        <v>0</v>
      </c>
      <c r="I309" s="59"/>
      <c r="K309" s="59"/>
      <c r="L309" s="59"/>
    </row>
    <row r="310" spans="1:12" s="139" customFormat="1" ht="15.75" thickBot="1">
      <c r="A310" s="138" t="s">
        <v>37</v>
      </c>
      <c r="B310" s="94"/>
      <c r="C310" s="94"/>
      <c r="D310" s="94"/>
      <c r="E310" s="94" t="s">
        <v>15</v>
      </c>
      <c r="F310" s="60" t="e">
        <f>IF(B310=0,NA(),IF(WeightFormat="No",((B309*2)+BarWeight)/(1.0278-(0.0278*B310)),B309/(1.0278-(0.0278*B310))))</f>
        <v>#N/A</v>
      </c>
      <c r="G310" s="60" t="e">
        <f>IF(C310=0,NA(),IF(WeightFormat="No",((C309*2)+BarWeight)/(1.0278-(0.0278*C310)),C309/(1.0278-(0.0278*C310))))</f>
        <v>#N/A</v>
      </c>
      <c r="H310" s="60" t="e">
        <f>IF(D310=0,NA(),IF(WeightFormat="No",((D309*2)+BarWeight)/(1.0278-(0.0278*D310)),D309/(1.0278-(0.0278*D310))))</f>
        <v>#N/A</v>
      </c>
      <c r="I310" s="81"/>
      <c r="K310" s="98" t="str">
        <f>K283</f>
        <v>5 x 10</v>
      </c>
      <c r="L310" s="98" t="str">
        <f>L283</f>
        <v>3 x 10</v>
      </c>
    </row>
    <row r="311" spans="1:12" s="142" customFormat="1" ht="15">
      <c r="A311" s="140" t="str">
        <f>A302</f>
        <v>Bench Press</v>
      </c>
      <c r="B311" s="141">
        <f>B284+28</f>
        <v>40863</v>
      </c>
      <c r="C311" s="141">
        <f>B311+7</f>
        <v>40870</v>
      </c>
      <c r="D311" s="141">
        <f>C311+7</f>
        <v>40877</v>
      </c>
      <c r="E311" s="141">
        <f>D311+7</f>
        <v>40884</v>
      </c>
      <c r="F311" s="62"/>
      <c r="G311" s="62"/>
      <c r="H311" s="62"/>
      <c r="I311" s="82"/>
      <c r="K311" s="82"/>
      <c r="L311" s="82"/>
    </row>
    <row r="312" spans="1:12" ht="15">
      <c r="A312" s="131" t="s">
        <v>34</v>
      </c>
      <c r="B312" s="93">
        <f>IF(WeightFormat="Yes",ROUND(($C302*F302)/Rounding,0)*Rounding,ROUND((($C302*F302)-BarWeight)/2/Rounding,0)*Rounding)</f>
        <v>345</v>
      </c>
      <c r="C312" s="93">
        <f>IF(WeightFormat="Yes",ROUND(($C302*G302)/Rounding,0)*Rounding,ROUND((($C302*G302)-BarWeight)/2/Rounding,0)*Rounding)</f>
        <v>370</v>
      </c>
      <c r="D312" s="93">
        <f>IF(WeightFormat="Yes",ROUND(($C302*H302)/Rounding,0)*Rounding,ROUND((($C302*H302)-BarWeight)/2/Rounding,0)*Rounding)</f>
        <v>400</v>
      </c>
      <c r="E312" s="93">
        <f>IF(WeightFormat="Yes",ROUND(($C302*I302)/Rounding,0)*Rounding,ROUND((($C302*I302)-BarWeight)/2/Rounding,0)*Rounding)</f>
        <v>210</v>
      </c>
      <c r="F312" s="64"/>
      <c r="G312" s="64"/>
      <c r="H312" s="64"/>
      <c r="K312" s="92">
        <f>IF(WeightFormat="Yes",ROUND((C302*BBBPercentage)/Rounding,0)*Rounding,ROUND((($C302*BBBPercentage)-BarWeight)/2/Rounding,0)*Rounding)</f>
        <v>265</v>
      </c>
      <c r="L312" s="93">
        <f>K312</f>
        <v>265</v>
      </c>
    </row>
    <row r="313" spans="1:12" s="134" customFormat="1" ht="15">
      <c r="A313" s="132" t="s">
        <v>35</v>
      </c>
      <c r="B313" s="133">
        <f>IF(WeightFormat="Yes",ROUND(($C302*F303)/Rounding,0)*Rounding,ROUND((($C302*F303)-BarWeight)/2/Rounding,0)*Rounding)</f>
        <v>400</v>
      </c>
      <c r="C313" s="133">
        <f>IF(WeightFormat="Yes",ROUND(($C302*G303)/Rounding,0)*Rounding,ROUND((($C302*G303)-BarWeight)/2/Rounding,0)*Rounding)</f>
        <v>425</v>
      </c>
      <c r="D313" s="133">
        <f>IF(WeightFormat="Yes",ROUND(($C302*H303)/Rounding,0)*Rounding,ROUND((($C302*H303)-BarWeight)/2/Rounding,0)*Rounding)</f>
        <v>450</v>
      </c>
      <c r="E313" s="133">
        <f>IF(WeightFormat="Yes",ROUND(($C302*I303)/Rounding,0)*Rounding,ROUND((($C302*I303)-BarWeight)/2/Rounding,0)*Rounding)</f>
        <v>265</v>
      </c>
      <c r="F313" s="66"/>
      <c r="G313" s="66"/>
      <c r="H313" s="66"/>
      <c r="I313" s="56"/>
      <c r="K313" s="56"/>
      <c r="L313" s="56"/>
    </row>
    <row r="314" spans="1:12" s="137" customFormat="1" ht="15">
      <c r="A314" s="135" t="s">
        <v>36</v>
      </c>
      <c r="B314" s="136">
        <f>IF(WeightFormat="Yes",ROUND(($C302*F304)/Rounding,0)*Rounding,ROUND((($C302*F304)-BarWeight)/2/Rounding,0)*Rounding)</f>
        <v>450</v>
      </c>
      <c r="C314" s="136">
        <f>IF(WeightFormat="Yes",ROUND(($C302*G304)/Rounding,0)*Rounding,ROUND((($C302*G304)-BarWeight)/2/Rounding,0)*Rounding)</f>
        <v>480</v>
      </c>
      <c r="D314" s="136">
        <f>IF(WeightFormat="Yes",ROUND(($C302*H304)/Rounding,0)*Rounding,ROUND((($C302*H304)-BarWeight)/2/Rounding,0)*Rounding)</f>
        <v>505</v>
      </c>
      <c r="E314" s="136">
        <f>IF(WeightFormat="Yes",ROUND(($C302*I304)/Rounding,0)*Rounding,ROUND((($C302*I304)-BarWeight)/2/Rounding,0)*Rounding)</f>
        <v>320</v>
      </c>
      <c r="F314" s="57"/>
      <c r="G314" s="58">
        <f>IF(OR(ISERROR(F315),ISERROR(G315)),0,(G315-F315)/F315)</f>
        <v>0</v>
      </c>
      <c r="H314" s="58">
        <f>IF(OR(ISERROR(G315),ISERROR(H315)),0,(H315-G315)/G315)</f>
        <v>0</v>
      </c>
      <c r="I314" s="59"/>
      <c r="K314" s="59"/>
      <c r="L314" s="59"/>
    </row>
    <row r="315" spans="1:12" s="144" customFormat="1" ht="15.75" thickBot="1">
      <c r="A315" s="143" t="s">
        <v>37</v>
      </c>
      <c r="B315" s="95"/>
      <c r="C315" s="95"/>
      <c r="D315" s="95"/>
      <c r="E315" s="95" t="s">
        <v>15</v>
      </c>
      <c r="F315" s="69" t="e">
        <f>IF(B315=0,NA(),IF(WeightFormat="No",((B314*2)+BarWeight)/(1.0278-(0.0278*B315)),B314/(1.0278-(0.0278*B315))))</f>
        <v>#N/A</v>
      </c>
      <c r="G315" s="69" t="e">
        <f>IF(C315=0,NA(),IF(WeightFormat="No",((C314*2)+BarWeight)/(1.0278-(0.0278*C315)),C314/(1.0278-(0.0278*C315))))</f>
        <v>#N/A</v>
      </c>
      <c r="H315" s="69" t="e">
        <f>IF(D315=0,NA(),IF(WeightFormat="No",((D314*2)+BarWeight)/(1.0278-(0.0278*D315)),D314/(1.0278-(0.0278*D315))))</f>
        <v>#N/A</v>
      </c>
      <c r="I315" s="83"/>
      <c r="K315" s="99" t="str">
        <f>K288</f>
        <v>5 x 10</v>
      </c>
      <c r="L315" s="99" t="str">
        <f>L288</f>
        <v>3 x 10</v>
      </c>
    </row>
    <row r="316" spans="1:12" s="147" customFormat="1" ht="15">
      <c r="A316" s="145" t="str">
        <f>A303</f>
        <v>Deadlift</v>
      </c>
      <c r="B316" s="146">
        <f>B289+28</f>
        <v>40864</v>
      </c>
      <c r="C316" s="146">
        <f>B316+7</f>
        <v>40871</v>
      </c>
      <c r="D316" s="146">
        <f>C316+7</f>
        <v>40878</v>
      </c>
      <c r="E316" s="146">
        <f>D316+7</f>
        <v>40885</v>
      </c>
      <c r="F316" s="71"/>
      <c r="G316" s="71"/>
      <c r="H316" s="71"/>
      <c r="I316" s="84"/>
      <c r="K316" s="84"/>
      <c r="L316" s="84"/>
    </row>
    <row r="317" spans="1:12" ht="15">
      <c r="A317" s="131" t="s">
        <v>34</v>
      </c>
      <c r="B317" s="93">
        <f>IF(WeightFormat="Yes",ROUND(($C303*F302)/Rounding,0)*Rounding,ROUND((($C303*F302)-BarWeight)/2/Rounding,0)*Rounding)</f>
        <v>565</v>
      </c>
      <c r="C317" s="93">
        <f>IF(WeightFormat="Yes",ROUND(($C303*G302)/Rounding,0)*Rounding,ROUND((($C303*G302)-BarWeight)/2/Rounding,0)*Rounding)</f>
        <v>610</v>
      </c>
      <c r="D317" s="93">
        <f>IF(WeightFormat="Yes",ROUND(($C303*H302)/Rounding,0)*Rounding,ROUND((($C303*H302)-BarWeight)/2/Rounding,0)*Rounding)</f>
        <v>655</v>
      </c>
      <c r="E317" s="93">
        <f>IF(WeightFormat="Yes",ROUND(($C303*I302)/Rounding,0)*Rounding,ROUND((($C303*I302)-BarWeight)/2/Rounding,0)*Rounding)</f>
        <v>350</v>
      </c>
      <c r="F317" s="64"/>
      <c r="G317" s="64"/>
      <c r="H317" s="64"/>
      <c r="K317" s="92">
        <f>IF(WeightFormat="Yes",ROUND((C303*BBBPercentage)/Rounding,0)*Rounding,ROUND((($C303*BBBPercentage)-BarWeight)/2/Rounding,0)*Rounding)</f>
        <v>435</v>
      </c>
      <c r="L317" s="93">
        <f>K317</f>
        <v>435</v>
      </c>
    </row>
    <row r="318" spans="1:12" s="134" customFormat="1" ht="15">
      <c r="A318" s="132" t="s">
        <v>35</v>
      </c>
      <c r="B318" s="133">
        <f>IF(WeightFormat="Yes",ROUND(($C303*F303)/Rounding,0)*Rounding,ROUND((($C303*F303)-BarWeight)/2/Rounding,0)*Rounding)</f>
        <v>655</v>
      </c>
      <c r="C318" s="133">
        <f>IF(WeightFormat="Yes",ROUND(($C303*G303)/Rounding,0)*Rounding,ROUND((($C303*G303)-BarWeight)/2/Rounding,0)*Rounding)</f>
        <v>700</v>
      </c>
      <c r="D318" s="133">
        <f>IF(WeightFormat="Yes",ROUND(($C303*H303)/Rounding,0)*Rounding,ROUND((($C303*H303)-BarWeight)/2/Rounding,0)*Rounding)</f>
        <v>740</v>
      </c>
      <c r="E318" s="133">
        <f>IF(WeightFormat="Yes",ROUND(($C303*I303)/Rounding,0)*Rounding,ROUND((($C303*I303)-BarWeight)/2/Rounding,0)*Rounding)</f>
        <v>435</v>
      </c>
      <c r="F318" s="66"/>
      <c r="G318" s="66"/>
      <c r="H318" s="66"/>
      <c r="I318" s="56"/>
      <c r="K318" s="56"/>
      <c r="L318" s="56"/>
    </row>
    <row r="319" spans="1:12" s="137" customFormat="1" ht="15">
      <c r="A319" s="135" t="s">
        <v>36</v>
      </c>
      <c r="B319" s="136">
        <f>IF(WeightFormat="Yes",ROUND(($C303*F304)/Rounding,0)*Rounding,ROUND((($C303*F304)-BarWeight)/2/Rounding,0)*Rounding)</f>
        <v>740</v>
      </c>
      <c r="C319" s="136">
        <f>IF(WeightFormat="Yes",ROUND(($C303*G304)/Rounding,0)*Rounding,ROUND((($C303*G304)-BarWeight)/2/Rounding,0)*Rounding)</f>
        <v>785</v>
      </c>
      <c r="D319" s="136">
        <f>IF(WeightFormat="Yes",ROUND(($C303*H304)/Rounding,0)*Rounding,ROUND((($C303*H304)-BarWeight)/2/Rounding,0)*Rounding)</f>
        <v>830</v>
      </c>
      <c r="E319" s="136">
        <f>IF(WeightFormat="Yes",ROUND(($C303*I304)/Rounding,0)*Rounding,ROUND((($C303*I304)-BarWeight)/2/Rounding,0)*Rounding)</f>
        <v>525</v>
      </c>
      <c r="F319" s="57"/>
      <c r="G319" s="58">
        <f>IF(OR(ISERROR(F320),ISERROR(G320)),0,(G320-F320)/F320)</f>
        <v>0</v>
      </c>
      <c r="H319" s="58">
        <f>IF(OR(ISERROR(G320),ISERROR(H320)),0,(H320-G320)/G320)</f>
        <v>0</v>
      </c>
      <c r="I319" s="59"/>
      <c r="K319" s="59"/>
      <c r="L319" s="59"/>
    </row>
    <row r="320" spans="1:12" s="149" customFormat="1" ht="15.75" thickBot="1">
      <c r="A320" s="148" t="s">
        <v>37</v>
      </c>
      <c r="B320" s="96"/>
      <c r="C320" s="96"/>
      <c r="D320" s="96"/>
      <c r="E320" s="96" t="s">
        <v>15</v>
      </c>
      <c r="F320" s="73" t="e">
        <f>IF(B320=0,NA(),IF(WeightFormat="No",((B319*2)+BarWeight)/(1.0278-(0.0278*B320)),B319/(1.0278-(0.0278*B320))))</f>
        <v>#N/A</v>
      </c>
      <c r="G320" s="73" t="e">
        <f>IF(C320=0,NA(),IF(WeightFormat="No",((C319*2)+BarWeight)/(1.0278-(0.0278*C320)),C319/(1.0278-(0.0278*C320))))</f>
        <v>#N/A</v>
      </c>
      <c r="H320" s="73" t="e">
        <f>IF(D320=0,NA(),IF(WeightFormat="No",((D319*2)+BarWeight)/(1.0278-(0.0278*D320)),D319/(1.0278-(0.0278*D320))))</f>
        <v>#N/A</v>
      </c>
      <c r="I320" s="85"/>
      <c r="K320" s="100" t="str">
        <f>K293</f>
        <v>5 x 8</v>
      </c>
      <c r="L320" s="100" t="str">
        <f>L293</f>
        <v>3 x 8</v>
      </c>
    </row>
    <row r="321" spans="1:12" s="152" customFormat="1" ht="15">
      <c r="A321" s="150" t="str">
        <f>A304</f>
        <v>Shoulder Press</v>
      </c>
      <c r="B321" s="151">
        <f>B294+28</f>
        <v>40865</v>
      </c>
      <c r="C321" s="151">
        <f>B321+7</f>
        <v>40872</v>
      </c>
      <c r="D321" s="151">
        <f>C321+7</f>
        <v>40879</v>
      </c>
      <c r="E321" s="151">
        <f>D321+7</f>
        <v>40886</v>
      </c>
      <c r="F321" s="75"/>
      <c r="G321" s="75"/>
      <c r="H321" s="75"/>
      <c r="I321" s="86"/>
      <c r="K321" s="86"/>
      <c r="L321" s="86"/>
    </row>
    <row r="322" spans="1:12" ht="15">
      <c r="A322" s="131" t="s">
        <v>34</v>
      </c>
      <c r="B322" s="93">
        <f>IF(WeightFormat="Yes",ROUND(($C304*F302)/Rounding,0)*Rounding,ROUND((($C304*F302)-BarWeight)/2/Rounding,0)*Rounding)</f>
        <v>285</v>
      </c>
      <c r="C322" s="93">
        <f>IF(WeightFormat="Yes",ROUND(($C304*G302)/Rounding,0)*Rounding,ROUND((($C304*G302)-BarWeight)/2/Rounding,0)*Rounding)</f>
        <v>305</v>
      </c>
      <c r="D322" s="93">
        <f>IF(WeightFormat="Yes",ROUND(($C304*H302)/Rounding,0)*Rounding,ROUND((($C304*H302)-BarWeight)/2/Rounding,0)*Rounding)</f>
        <v>325</v>
      </c>
      <c r="E322" s="93">
        <f>IF(WeightFormat="Yes",ROUND(($C304*I302)/Rounding,0)*Rounding,ROUND((($C304*I302)-BarWeight)/2/Rounding,0)*Rounding)</f>
        <v>175</v>
      </c>
      <c r="F322" s="64"/>
      <c r="G322" s="64"/>
      <c r="H322" s="64"/>
      <c r="K322" s="92">
        <f>IF(WeightFormat="Yes",ROUND((C304*BBBPercentage)/Rounding,0)*Rounding,ROUND((($C304*BBBPercentage)-BarWeight)/2/Rounding,0)*Rounding)</f>
        <v>220</v>
      </c>
      <c r="L322" s="93">
        <f>K322</f>
        <v>220</v>
      </c>
    </row>
    <row r="323" spans="1:12" s="134" customFormat="1" ht="15">
      <c r="A323" s="132" t="s">
        <v>35</v>
      </c>
      <c r="B323" s="133">
        <f>IF(WeightFormat="Yes",ROUND(($C304*F303)/Rounding,0)*Rounding,ROUND((($C304*F303)-BarWeight)/2/Rounding,0)*Rounding)</f>
        <v>325</v>
      </c>
      <c r="C323" s="133">
        <f>IF(WeightFormat="Yes",ROUND(($C304*G303)/Rounding,0)*Rounding,ROUND((($C304*G303)-BarWeight)/2/Rounding,0)*Rounding)</f>
        <v>350</v>
      </c>
      <c r="D323" s="133">
        <f>IF(WeightFormat="Yes",ROUND(($C304*H303)/Rounding,0)*Rounding,ROUND((($C304*H303)-BarWeight)/2/Rounding,0)*Rounding)</f>
        <v>370</v>
      </c>
      <c r="E323" s="133">
        <f>IF(WeightFormat="Yes",ROUND(($C304*I303)/Rounding,0)*Rounding,ROUND((($C304*I303)-BarWeight)/2/Rounding,0)*Rounding)</f>
        <v>220</v>
      </c>
      <c r="F323" s="66"/>
      <c r="G323" s="66"/>
      <c r="H323" s="66"/>
      <c r="I323" s="56"/>
      <c r="K323" s="56"/>
      <c r="L323" s="56"/>
    </row>
    <row r="324" spans="1:12" s="137" customFormat="1" ht="15">
      <c r="A324" s="135" t="s">
        <v>36</v>
      </c>
      <c r="B324" s="93">
        <f>IF(WeightFormat="Yes",ROUND(($C304*F304)/Rounding,0)*Rounding,ROUND((($C304*F304)-BarWeight)/2/Rounding,0)*Rounding)</f>
        <v>370</v>
      </c>
      <c r="C324" s="93">
        <f>IF(WeightFormat="Yes",ROUND(($C304*G304)/Rounding,0)*Rounding,ROUND((($C304*G304)-BarWeight)/2/Rounding,0)*Rounding)</f>
        <v>395</v>
      </c>
      <c r="D324" s="93">
        <f>IF(WeightFormat="Yes",ROUND(($C304*H304)/Rounding,0)*Rounding,ROUND((($C304*H304)-BarWeight)/2/Rounding,0)*Rounding)</f>
        <v>415</v>
      </c>
      <c r="E324" s="93">
        <f>IF(WeightFormat="Yes",ROUND(($C304*I304)/Rounding,0)*Rounding,ROUND((($C304*I304)-BarWeight)/2/Rounding,0)*Rounding)</f>
        <v>260</v>
      </c>
      <c r="F324" s="57"/>
      <c r="G324" s="58">
        <f>IF(OR(ISERROR(F325),ISERROR(G325)),0,(G325-F325)/F325)</f>
        <v>0</v>
      </c>
      <c r="H324" s="58">
        <f>IF(OR(ISERROR(G325),ISERROR(H325)),0,(H325-G325)/G325)</f>
        <v>0</v>
      </c>
      <c r="I324" s="59"/>
      <c r="K324" s="59"/>
      <c r="L324" s="59"/>
    </row>
    <row r="325" spans="1:12" s="154" customFormat="1" ht="15.75" thickBot="1">
      <c r="A325" s="153" t="s">
        <v>37</v>
      </c>
      <c r="B325" s="97"/>
      <c r="C325" s="97"/>
      <c r="D325" s="97"/>
      <c r="E325" s="97" t="s">
        <v>15</v>
      </c>
      <c r="F325" s="77" t="e">
        <f>IF(B325=0,NA(),IF(WeightFormat="No",((B324*2)+BarWeight)/(1.0278-(0.0278*B325)),B324/(1.0278-(0.0278*B325))))</f>
        <v>#N/A</v>
      </c>
      <c r="G325" s="77" t="e">
        <f>IF(C325=0,NA(),IF(WeightFormat="No",((C324*2)+BarWeight)/(1.0278-(0.0278*C325)),C324/(1.0278-(0.0278*C325))))</f>
        <v>#N/A</v>
      </c>
      <c r="H325" s="77" t="e">
        <f>IF(D325=0,NA(),IF(WeightFormat="No",((D324*2)+BarWeight)/(1.0278-(0.0278*D325)),D324/(1.0278-(0.0278*D325))))</f>
        <v>#N/A</v>
      </c>
      <c r="I325" s="87"/>
      <c r="K325" s="101" t="str">
        <f>K298</f>
        <v>5 x 10</v>
      </c>
      <c r="L325" s="101" t="str">
        <f>L298</f>
        <v>3 x 10</v>
      </c>
    </row>
    <row r="326" spans="1:12" s="116" customFormat="1" ht="19.5" thickBot="1">
      <c r="A326" s="115" t="s">
        <v>50</v>
      </c>
      <c r="B326" s="206" t="str">
        <f>TEXT(B333,"dd mmm")&amp;" to "&amp;TEXT(E348,"dd mmm yyyy")</f>
        <v>12 Dec to 06 Jan 2012</v>
      </c>
      <c r="C326" s="207"/>
      <c r="D326" s="207"/>
      <c r="E326" s="207"/>
      <c r="F326" s="207"/>
      <c r="G326" s="207"/>
      <c r="H326" s="207"/>
      <c r="I326" s="208"/>
      <c r="K326" s="88"/>
      <c r="L326" s="88"/>
    </row>
    <row r="327" spans="1:12" s="119" customFormat="1" ht="15">
      <c r="A327" s="117" t="s">
        <v>5</v>
      </c>
      <c r="B327" s="118" t="s">
        <v>0</v>
      </c>
      <c r="C327" s="79">
        <v>0.9</v>
      </c>
      <c r="D327" s="209"/>
      <c r="E327" s="210"/>
      <c r="F327" s="215" t="s">
        <v>14</v>
      </c>
      <c r="G327" s="215"/>
      <c r="H327" s="215"/>
      <c r="I327" s="215"/>
      <c r="K327" s="89"/>
      <c r="L327" s="89"/>
    </row>
    <row r="328" spans="1:12" s="122" customFormat="1" ht="15">
      <c r="A328" s="90" t="str">
        <f>ExOne</f>
        <v>Squat</v>
      </c>
      <c r="B328" s="120">
        <f>B301+(IncrOne/C327)</f>
        <v>1192.333333333333</v>
      </c>
      <c r="C328" s="121">
        <f>B328*$C$3</f>
        <v>1073.0999999999997</v>
      </c>
      <c r="D328" s="211"/>
      <c r="E328" s="212"/>
      <c r="F328" s="42" t="s">
        <v>6</v>
      </c>
      <c r="G328" s="43" t="s">
        <v>7</v>
      </c>
      <c r="H328" s="43" t="s">
        <v>12</v>
      </c>
      <c r="I328" s="44" t="s">
        <v>13</v>
      </c>
      <c r="K328" s="90"/>
      <c r="L328" s="90"/>
    </row>
    <row r="329" spans="1:12" s="122" customFormat="1" ht="15">
      <c r="A329" s="90" t="str">
        <f>ExTwo</f>
        <v>Bench Press</v>
      </c>
      <c r="B329" s="120">
        <f>B302+(IncrTwo/C327)</f>
        <v>595.6666666666665</v>
      </c>
      <c r="C329" s="121">
        <f>B329*$C$3</f>
        <v>536.0999999999999</v>
      </c>
      <c r="D329" s="211"/>
      <c r="E329" s="212"/>
      <c r="F329" s="45">
        <v>0.65</v>
      </c>
      <c r="G329" s="45">
        <v>0.7</v>
      </c>
      <c r="H329" s="45">
        <v>0.75</v>
      </c>
      <c r="I329" s="46">
        <v>0.4</v>
      </c>
      <c r="K329" s="90"/>
      <c r="L329" s="90"/>
    </row>
    <row r="330" spans="1:12" s="122" customFormat="1" ht="15">
      <c r="A330" s="90" t="str">
        <f>ExThree</f>
        <v>Deadlift</v>
      </c>
      <c r="B330" s="120">
        <f>B303+(IncrThree/C327)</f>
        <v>980.333333333333</v>
      </c>
      <c r="C330" s="121">
        <f>B330*$C$3</f>
        <v>882.2999999999997</v>
      </c>
      <c r="D330" s="211"/>
      <c r="E330" s="212"/>
      <c r="F330" s="45">
        <v>0.75</v>
      </c>
      <c r="G330" s="45">
        <v>0.8</v>
      </c>
      <c r="H330" s="45">
        <v>0.85</v>
      </c>
      <c r="I330" s="46">
        <v>0.5</v>
      </c>
      <c r="K330" s="90"/>
      <c r="L330" s="90"/>
    </row>
    <row r="331" spans="1:12" s="119" customFormat="1" ht="15">
      <c r="A331" s="89" t="str">
        <f>ExFour</f>
        <v>Shoulder Press</v>
      </c>
      <c r="B331" s="155">
        <f>B304+(IncrFour/C327)</f>
        <v>490.6666666666665</v>
      </c>
      <c r="C331" s="123">
        <f>B331*$C$3</f>
        <v>441.59999999999985</v>
      </c>
      <c r="D331" s="213"/>
      <c r="E331" s="214"/>
      <c r="F331" s="45">
        <v>0.85</v>
      </c>
      <c r="G331" s="45">
        <v>0.9</v>
      </c>
      <c r="H331" s="45">
        <v>0.95</v>
      </c>
      <c r="I331" s="46">
        <v>0.6</v>
      </c>
      <c r="K331" s="89"/>
      <c r="L331" s="89"/>
    </row>
    <row r="332" spans="1:12" s="126" customFormat="1" ht="15.75" thickBot="1">
      <c r="A332" s="124" t="s">
        <v>5</v>
      </c>
      <c r="B332" s="125"/>
      <c r="C332" s="125"/>
      <c r="D332" s="125"/>
      <c r="E332" s="125"/>
      <c r="F332" s="47"/>
      <c r="G332" s="47"/>
      <c r="H332" s="47"/>
      <c r="I332" s="48"/>
      <c r="K332" s="48"/>
      <c r="L332" s="48"/>
    </row>
    <row r="333" spans="1:12" s="130" customFormat="1" ht="15">
      <c r="A333" s="127" t="str">
        <f>A328</f>
        <v>Squat</v>
      </c>
      <c r="B333" s="128">
        <f>B306+28</f>
        <v>40889</v>
      </c>
      <c r="C333" s="129">
        <f>B333+7</f>
        <v>40896</v>
      </c>
      <c r="D333" s="129">
        <f>C333+7</f>
        <v>40903</v>
      </c>
      <c r="E333" s="129">
        <f>D333+7</f>
        <v>40910</v>
      </c>
      <c r="F333" s="49"/>
      <c r="G333" s="49"/>
      <c r="H333" s="49"/>
      <c r="I333" s="80"/>
      <c r="K333" s="91" t="s">
        <v>55</v>
      </c>
      <c r="L333" s="91" t="s">
        <v>13</v>
      </c>
    </row>
    <row r="334" spans="1:12" ht="15">
      <c r="A334" s="131" t="s">
        <v>34</v>
      </c>
      <c r="B334" s="93">
        <f>IF(WeightFormat="Yes",ROUND(($C328*F329)/Rounding,0)*Rounding,ROUND((($C328*F329)-BarWeight)/2/Rounding,0)*Rounding)</f>
        <v>700</v>
      </c>
      <c r="C334" s="93">
        <f>IF(WeightFormat="Yes",ROUND(($C328*G329)/Rounding,0)*Rounding,ROUND((($C328*G329)-BarWeight)/2/Rounding,0)*Rounding)</f>
        <v>750</v>
      </c>
      <c r="D334" s="93">
        <f>IF(WeightFormat="Yes",ROUND(($C328*H329)/Rounding,0)*Rounding,ROUND((($C328*H329)-BarWeight)/2/Rounding,0)*Rounding)</f>
        <v>805</v>
      </c>
      <c r="E334" s="93">
        <f>IF(WeightFormat="Yes",ROUND(($C328*I329)/Rounding,0)*Rounding,ROUND((($C328*I329)-BarWeight)/2/Rounding,0)*Rounding)</f>
        <v>430</v>
      </c>
      <c r="F334" s="51"/>
      <c r="K334" s="92">
        <f>IF(WeightFormat="Yes",ROUND((C328*BBBPercentage)/Rounding,0)*Rounding,ROUND((($C328*BBBPercentage)-BarWeight)/2/Rounding,0)*Rounding)</f>
        <v>535</v>
      </c>
      <c r="L334" s="93">
        <f>K334</f>
        <v>535</v>
      </c>
    </row>
    <row r="335" spans="1:12" s="134" customFormat="1" ht="15">
      <c r="A335" s="132" t="s">
        <v>35</v>
      </c>
      <c r="B335" s="133">
        <f>IF(WeightFormat="Yes",ROUND(($C328*F330)/Rounding,0)*Rounding,ROUND((($C328*F330)-BarWeight)/2/Rounding,0)*Rounding)</f>
        <v>805</v>
      </c>
      <c r="C335" s="133">
        <f>IF(WeightFormat="Yes",ROUND(($C328*G330)/Rounding,0)*Rounding,ROUND((($C328*G330)-BarWeight)/2/Rounding,0)*Rounding)</f>
        <v>860</v>
      </c>
      <c r="D335" s="133">
        <f>IF(WeightFormat="Yes",ROUND(($C328*H330)/Rounding,0)*Rounding,ROUND((($C328*H330)-BarWeight)/2/Rounding,0)*Rounding)</f>
        <v>910</v>
      </c>
      <c r="E335" s="133">
        <f>IF(WeightFormat="Yes",ROUND(($C328*I330)/Rounding,0)*Rounding,ROUND((($C328*I330)-BarWeight)/2/Rounding,0)*Rounding)</f>
        <v>535</v>
      </c>
      <c r="F335" s="54"/>
      <c r="G335" s="55"/>
      <c r="H335" s="55"/>
      <c r="I335" s="56"/>
      <c r="K335" s="56"/>
      <c r="L335" s="56"/>
    </row>
    <row r="336" spans="1:12" s="137" customFormat="1" ht="15">
      <c r="A336" s="135" t="s">
        <v>36</v>
      </c>
      <c r="B336" s="136">
        <f>IF(WeightFormat="Yes",ROUND(($C328*F331)/Rounding,0)*Rounding,ROUND((($C328*F331)-BarWeight)/2/Rounding,0)*Rounding)</f>
        <v>910</v>
      </c>
      <c r="C336" s="136">
        <f>IF(WeightFormat="Yes",ROUND(($C328*G331)/Rounding,0)*Rounding,ROUND((($C328*G331)-BarWeight)/2/Rounding,0)*Rounding)</f>
        <v>965</v>
      </c>
      <c r="D336" s="136">
        <f>IF(WeightFormat="Yes",ROUND(($C328*H331)/Rounding,0)*Rounding,ROUND((($C328*H331)-BarWeight)/2/Rounding,0)*Rounding)</f>
        <v>1020</v>
      </c>
      <c r="E336" s="136">
        <f>IF(WeightFormat="Yes",ROUND(($C328*I331)/Rounding,0)*Rounding,ROUND((($C328*I331)-BarWeight)/2/Rounding,0)*Rounding)</f>
        <v>645</v>
      </c>
      <c r="F336" s="57"/>
      <c r="G336" s="58">
        <f>IF(OR(ISERROR(F337),ISERROR(G337)),0,(G337-F337)/F337)</f>
        <v>0</v>
      </c>
      <c r="H336" s="58">
        <f>IF(OR(ISERROR(G337),ISERROR(H337)),0,(H337-G337)/G337)</f>
        <v>0</v>
      </c>
      <c r="I336" s="59"/>
      <c r="K336" s="59"/>
      <c r="L336" s="59"/>
    </row>
    <row r="337" spans="1:12" s="139" customFormat="1" ht="15.75" thickBot="1">
      <c r="A337" s="138" t="s">
        <v>37</v>
      </c>
      <c r="B337" s="94"/>
      <c r="C337" s="94"/>
      <c r="D337" s="94"/>
      <c r="E337" s="94" t="s">
        <v>15</v>
      </c>
      <c r="F337" s="60" t="e">
        <f>IF(B337=0,NA(),IF(WeightFormat="No",((B336*2)+BarWeight)/(1.0278-(0.0278*B337)),B336/(1.0278-(0.0278*B337))))</f>
        <v>#N/A</v>
      </c>
      <c r="G337" s="60" t="e">
        <f>IF(C337=0,NA(),IF(WeightFormat="No",((C336*2)+BarWeight)/(1.0278-(0.0278*C337)),C336/(1.0278-(0.0278*C337))))</f>
        <v>#N/A</v>
      </c>
      <c r="H337" s="60" t="e">
        <f>IF(D337=0,NA(),IF(WeightFormat="No",((D336*2)+BarWeight)/(1.0278-(0.0278*D337)),D336/(1.0278-(0.0278*D337))))</f>
        <v>#N/A</v>
      </c>
      <c r="I337" s="81"/>
      <c r="K337" s="98" t="str">
        <f>K310</f>
        <v>5 x 10</v>
      </c>
      <c r="L337" s="98" t="str">
        <f>L310</f>
        <v>3 x 10</v>
      </c>
    </row>
    <row r="338" spans="1:12" s="142" customFormat="1" ht="15">
      <c r="A338" s="140" t="str">
        <f>A329</f>
        <v>Bench Press</v>
      </c>
      <c r="B338" s="141">
        <f>B311+28</f>
        <v>40891</v>
      </c>
      <c r="C338" s="141">
        <f>B338+7</f>
        <v>40898</v>
      </c>
      <c r="D338" s="141">
        <f>C338+7</f>
        <v>40905</v>
      </c>
      <c r="E338" s="141">
        <f>D338+7</f>
        <v>40912</v>
      </c>
      <c r="F338" s="62"/>
      <c r="G338" s="62"/>
      <c r="H338" s="62"/>
      <c r="I338" s="82"/>
      <c r="K338" s="82"/>
      <c r="L338" s="82"/>
    </row>
    <row r="339" spans="1:12" ht="15">
      <c r="A339" s="131" t="s">
        <v>34</v>
      </c>
      <c r="B339" s="93">
        <f>IF(WeightFormat="Yes",ROUND(($C329*F329)/Rounding,0)*Rounding,ROUND((($C329*F329)-BarWeight)/2/Rounding,0)*Rounding)</f>
        <v>350</v>
      </c>
      <c r="C339" s="93">
        <f>IF(WeightFormat="Yes",ROUND(($C329*G329)/Rounding,0)*Rounding,ROUND((($C329*G329)-BarWeight)/2/Rounding,0)*Rounding)</f>
        <v>375</v>
      </c>
      <c r="D339" s="93">
        <f>IF(WeightFormat="Yes",ROUND(($C329*H329)/Rounding,0)*Rounding,ROUND((($C329*H329)-BarWeight)/2/Rounding,0)*Rounding)</f>
        <v>400</v>
      </c>
      <c r="E339" s="93">
        <f>IF(WeightFormat="Yes",ROUND(($C329*I329)/Rounding,0)*Rounding,ROUND((($C329*I329)-BarWeight)/2/Rounding,0)*Rounding)</f>
        <v>215</v>
      </c>
      <c r="F339" s="64"/>
      <c r="G339" s="64"/>
      <c r="H339" s="64"/>
      <c r="K339" s="92">
        <f>IF(WeightFormat="Yes",ROUND((C329*BBBPercentage)/Rounding,0)*Rounding,ROUND((($C329*BBBPercentage)-BarWeight)/2/Rounding,0)*Rounding)</f>
        <v>270</v>
      </c>
      <c r="L339" s="93">
        <f>K339</f>
        <v>270</v>
      </c>
    </row>
    <row r="340" spans="1:12" s="134" customFormat="1" ht="15">
      <c r="A340" s="132" t="s">
        <v>35</v>
      </c>
      <c r="B340" s="133">
        <f>IF(WeightFormat="Yes",ROUND(($C329*F330)/Rounding,0)*Rounding,ROUND((($C329*F330)-BarWeight)/2/Rounding,0)*Rounding)</f>
        <v>400</v>
      </c>
      <c r="C340" s="133">
        <f>IF(WeightFormat="Yes",ROUND(($C329*G330)/Rounding,0)*Rounding,ROUND((($C329*G330)-BarWeight)/2/Rounding,0)*Rounding)</f>
        <v>430</v>
      </c>
      <c r="D340" s="133">
        <f>IF(WeightFormat="Yes",ROUND(($C329*H330)/Rounding,0)*Rounding,ROUND((($C329*H330)-BarWeight)/2/Rounding,0)*Rounding)</f>
        <v>455</v>
      </c>
      <c r="E340" s="133">
        <f>IF(WeightFormat="Yes",ROUND(($C329*I330)/Rounding,0)*Rounding,ROUND((($C329*I330)-BarWeight)/2/Rounding,0)*Rounding)</f>
        <v>270</v>
      </c>
      <c r="F340" s="66"/>
      <c r="G340" s="66"/>
      <c r="H340" s="66"/>
      <c r="I340" s="56"/>
      <c r="K340" s="56"/>
      <c r="L340" s="56"/>
    </row>
    <row r="341" spans="1:12" s="137" customFormat="1" ht="15">
      <c r="A341" s="135" t="s">
        <v>36</v>
      </c>
      <c r="B341" s="136">
        <f>IF(WeightFormat="Yes",ROUND(($C329*F331)/Rounding,0)*Rounding,ROUND((($C329*F331)-BarWeight)/2/Rounding,0)*Rounding)</f>
        <v>455</v>
      </c>
      <c r="C341" s="136">
        <f>IF(WeightFormat="Yes",ROUND(($C329*G331)/Rounding,0)*Rounding,ROUND((($C329*G331)-BarWeight)/2/Rounding,0)*Rounding)</f>
        <v>480</v>
      </c>
      <c r="D341" s="136">
        <f>IF(WeightFormat="Yes",ROUND(($C329*H331)/Rounding,0)*Rounding,ROUND((($C329*H331)-BarWeight)/2/Rounding,0)*Rounding)</f>
        <v>510</v>
      </c>
      <c r="E341" s="136">
        <f>IF(WeightFormat="Yes",ROUND(($C329*I331)/Rounding,0)*Rounding,ROUND((($C329*I331)-BarWeight)/2/Rounding,0)*Rounding)</f>
        <v>320</v>
      </c>
      <c r="F341" s="57"/>
      <c r="G341" s="58">
        <f>IF(OR(ISERROR(F342),ISERROR(G342)),0,(G342-F342)/F342)</f>
        <v>0</v>
      </c>
      <c r="H341" s="58">
        <f>IF(OR(ISERROR(G342),ISERROR(H342)),0,(H342-G342)/G342)</f>
        <v>0</v>
      </c>
      <c r="I341" s="59"/>
      <c r="K341" s="59"/>
      <c r="L341" s="59"/>
    </row>
    <row r="342" spans="1:12" s="144" customFormat="1" ht="15.75" thickBot="1">
      <c r="A342" s="143" t="s">
        <v>37</v>
      </c>
      <c r="B342" s="95"/>
      <c r="C342" s="95"/>
      <c r="D342" s="95"/>
      <c r="E342" s="95" t="s">
        <v>15</v>
      </c>
      <c r="F342" s="69" t="e">
        <f>IF(B342=0,NA(),IF(WeightFormat="No",((B341*2)+BarWeight)/(1.0278-(0.0278*B342)),B341/(1.0278-(0.0278*B342))))</f>
        <v>#N/A</v>
      </c>
      <c r="G342" s="69" t="e">
        <f>IF(C342=0,NA(),IF(WeightFormat="No",((C341*2)+BarWeight)/(1.0278-(0.0278*C342)),C341/(1.0278-(0.0278*C342))))</f>
        <v>#N/A</v>
      </c>
      <c r="H342" s="69" t="e">
        <f>IF(D342=0,NA(),IF(WeightFormat="No",((D341*2)+BarWeight)/(1.0278-(0.0278*D342)),D341/(1.0278-(0.0278*D342))))</f>
        <v>#N/A</v>
      </c>
      <c r="I342" s="83"/>
      <c r="K342" s="99" t="str">
        <f>K315</f>
        <v>5 x 10</v>
      </c>
      <c r="L342" s="99" t="str">
        <f>L315</f>
        <v>3 x 10</v>
      </c>
    </row>
    <row r="343" spans="1:12" s="147" customFormat="1" ht="15">
      <c r="A343" s="145" t="str">
        <f>A330</f>
        <v>Deadlift</v>
      </c>
      <c r="B343" s="146">
        <f>B316+28</f>
        <v>40892</v>
      </c>
      <c r="C343" s="146">
        <f>B343+7</f>
        <v>40899</v>
      </c>
      <c r="D343" s="146">
        <f>C343+7</f>
        <v>40906</v>
      </c>
      <c r="E343" s="146">
        <f>D343+7</f>
        <v>40913</v>
      </c>
      <c r="F343" s="71"/>
      <c r="G343" s="71"/>
      <c r="H343" s="71"/>
      <c r="I343" s="84"/>
      <c r="K343" s="84"/>
      <c r="L343" s="84"/>
    </row>
    <row r="344" spans="1:12" ht="15">
      <c r="A344" s="131" t="s">
        <v>34</v>
      </c>
      <c r="B344" s="93">
        <f>IF(WeightFormat="Yes",ROUND(($C330*F329)/Rounding,0)*Rounding,ROUND((($C330*F329)-BarWeight)/2/Rounding,0)*Rounding)</f>
        <v>575</v>
      </c>
      <c r="C344" s="93">
        <f>IF(WeightFormat="Yes",ROUND(($C330*G329)/Rounding,0)*Rounding,ROUND((($C330*G329)-BarWeight)/2/Rounding,0)*Rounding)</f>
        <v>620</v>
      </c>
      <c r="D344" s="93">
        <f>IF(WeightFormat="Yes",ROUND(($C330*H329)/Rounding,0)*Rounding,ROUND((($C330*H329)-BarWeight)/2/Rounding,0)*Rounding)</f>
        <v>660</v>
      </c>
      <c r="E344" s="93">
        <f>IF(WeightFormat="Yes",ROUND(($C330*I329)/Rounding,0)*Rounding,ROUND((($C330*I329)-BarWeight)/2/Rounding,0)*Rounding)</f>
        <v>355</v>
      </c>
      <c r="F344" s="64"/>
      <c r="G344" s="64"/>
      <c r="H344" s="64"/>
      <c r="K344" s="92">
        <f>IF(WeightFormat="Yes",ROUND((C330*BBBPercentage)/Rounding,0)*Rounding,ROUND((($C330*BBBPercentage)-BarWeight)/2/Rounding,0)*Rounding)</f>
        <v>440</v>
      </c>
      <c r="L344" s="93">
        <f>K344</f>
        <v>440</v>
      </c>
    </row>
    <row r="345" spans="1:12" s="134" customFormat="1" ht="15">
      <c r="A345" s="132" t="s">
        <v>35</v>
      </c>
      <c r="B345" s="133">
        <f>IF(WeightFormat="Yes",ROUND(($C330*F330)/Rounding,0)*Rounding,ROUND((($C330*F330)-BarWeight)/2/Rounding,0)*Rounding)</f>
        <v>660</v>
      </c>
      <c r="C345" s="133">
        <f>IF(WeightFormat="Yes",ROUND(($C330*G330)/Rounding,0)*Rounding,ROUND((($C330*G330)-BarWeight)/2/Rounding,0)*Rounding)</f>
        <v>705</v>
      </c>
      <c r="D345" s="133">
        <f>IF(WeightFormat="Yes",ROUND(($C330*H330)/Rounding,0)*Rounding,ROUND((($C330*H330)-BarWeight)/2/Rounding,0)*Rounding)</f>
        <v>750</v>
      </c>
      <c r="E345" s="133">
        <f>IF(WeightFormat="Yes",ROUND(($C330*I330)/Rounding,0)*Rounding,ROUND((($C330*I330)-BarWeight)/2/Rounding,0)*Rounding)</f>
        <v>440</v>
      </c>
      <c r="F345" s="66"/>
      <c r="G345" s="66"/>
      <c r="H345" s="66"/>
      <c r="I345" s="56"/>
      <c r="K345" s="56"/>
      <c r="L345" s="56"/>
    </row>
    <row r="346" spans="1:12" s="137" customFormat="1" ht="15">
      <c r="A346" s="135" t="s">
        <v>36</v>
      </c>
      <c r="B346" s="136">
        <f>IF(WeightFormat="Yes",ROUND(($C330*F331)/Rounding,0)*Rounding,ROUND((($C330*F331)-BarWeight)/2/Rounding,0)*Rounding)</f>
        <v>750</v>
      </c>
      <c r="C346" s="136">
        <f>IF(WeightFormat="Yes",ROUND(($C330*G331)/Rounding,0)*Rounding,ROUND((($C330*G331)-BarWeight)/2/Rounding,0)*Rounding)</f>
        <v>795</v>
      </c>
      <c r="D346" s="136">
        <f>IF(WeightFormat="Yes",ROUND(($C330*H331)/Rounding,0)*Rounding,ROUND((($C330*H331)-BarWeight)/2/Rounding,0)*Rounding)</f>
        <v>840</v>
      </c>
      <c r="E346" s="136">
        <f>IF(WeightFormat="Yes",ROUND(($C330*I331)/Rounding,0)*Rounding,ROUND((($C330*I331)-BarWeight)/2/Rounding,0)*Rounding)</f>
        <v>530</v>
      </c>
      <c r="F346" s="57"/>
      <c r="G346" s="58">
        <f>IF(OR(ISERROR(F347),ISERROR(G347)),0,(G347-F347)/F347)</f>
        <v>0</v>
      </c>
      <c r="H346" s="58">
        <f>IF(OR(ISERROR(G347),ISERROR(H347)),0,(H347-G347)/G347)</f>
        <v>0</v>
      </c>
      <c r="I346" s="59"/>
      <c r="K346" s="59"/>
      <c r="L346" s="59"/>
    </row>
    <row r="347" spans="1:12" s="149" customFormat="1" ht="15.75" thickBot="1">
      <c r="A347" s="148" t="s">
        <v>37</v>
      </c>
      <c r="B347" s="96"/>
      <c r="C347" s="96"/>
      <c r="D347" s="96"/>
      <c r="E347" s="96" t="s">
        <v>15</v>
      </c>
      <c r="F347" s="73" t="e">
        <f>IF(B347=0,NA(),IF(WeightFormat="No",((B346*2)+BarWeight)/(1.0278-(0.0278*B347)),B346/(1.0278-(0.0278*B347))))</f>
        <v>#N/A</v>
      </c>
      <c r="G347" s="73" t="e">
        <f>IF(C347=0,NA(),IF(WeightFormat="No",((C346*2)+BarWeight)/(1.0278-(0.0278*C347)),C346/(1.0278-(0.0278*C347))))</f>
        <v>#N/A</v>
      </c>
      <c r="H347" s="73" t="e">
        <f>IF(D347=0,NA(),IF(WeightFormat="No",((D346*2)+BarWeight)/(1.0278-(0.0278*D347)),D346/(1.0278-(0.0278*D347))))</f>
        <v>#N/A</v>
      </c>
      <c r="I347" s="85"/>
      <c r="K347" s="100" t="str">
        <f>K320</f>
        <v>5 x 8</v>
      </c>
      <c r="L347" s="100" t="str">
        <f>L320</f>
        <v>3 x 8</v>
      </c>
    </row>
    <row r="348" spans="1:12" s="152" customFormat="1" ht="15">
      <c r="A348" s="150" t="str">
        <f>A331</f>
        <v>Shoulder Press</v>
      </c>
      <c r="B348" s="151">
        <f>B321+28</f>
        <v>40893</v>
      </c>
      <c r="C348" s="151">
        <f>B348+7</f>
        <v>40900</v>
      </c>
      <c r="D348" s="151">
        <f>C348+7</f>
        <v>40907</v>
      </c>
      <c r="E348" s="151">
        <f>D348+7</f>
        <v>40914</v>
      </c>
      <c r="F348" s="75"/>
      <c r="G348" s="75"/>
      <c r="H348" s="75"/>
      <c r="I348" s="86"/>
      <c r="K348" s="86"/>
      <c r="L348" s="86"/>
    </row>
    <row r="349" spans="1:12" ht="15">
      <c r="A349" s="131" t="s">
        <v>34</v>
      </c>
      <c r="B349" s="93">
        <f>IF(WeightFormat="Yes",ROUND(($C331*F329)/Rounding,0)*Rounding,ROUND((($C331*F329)-BarWeight)/2/Rounding,0)*Rounding)</f>
        <v>285</v>
      </c>
      <c r="C349" s="93">
        <f>IF(WeightFormat="Yes",ROUND(($C331*G329)/Rounding,0)*Rounding,ROUND((($C331*G329)-BarWeight)/2/Rounding,0)*Rounding)</f>
        <v>310</v>
      </c>
      <c r="D349" s="93">
        <f>IF(WeightFormat="Yes",ROUND(($C331*H329)/Rounding,0)*Rounding,ROUND((($C331*H329)-BarWeight)/2/Rounding,0)*Rounding)</f>
        <v>330</v>
      </c>
      <c r="E349" s="93">
        <f>IF(WeightFormat="Yes",ROUND(($C331*I329)/Rounding,0)*Rounding,ROUND((($C331*I329)-BarWeight)/2/Rounding,0)*Rounding)</f>
        <v>175</v>
      </c>
      <c r="F349" s="64"/>
      <c r="G349" s="64"/>
      <c r="H349" s="64"/>
      <c r="K349" s="92">
        <f>IF(WeightFormat="Yes",ROUND((C331*BBBPercentage)/Rounding,0)*Rounding,ROUND((($C331*BBBPercentage)-BarWeight)/2/Rounding,0)*Rounding)</f>
        <v>220</v>
      </c>
      <c r="L349" s="93">
        <f>K349</f>
        <v>220</v>
      </c>
    </row>
    <row r="350" spans="1:12" s="134" customFormat="1" ht="15">
      <c r="A350" s="132" t="s">
        <v>35</v>
      </c>
      <c r="B350" s="133">
        <f>IF(WeightFormat="Yes",ROUND(($C331*F330)/Rounding,0)*Rounding,ROUND((($C331*F330)-BarWeight)/2/Rounding,0)*Rounding)</f>
        <v>330</v>
      </c>
      <c r="C350" s="133">
        <f>IF(WeightFormat="Yes",ROUND(($C331*G330)/Rounding,0)*Rounding,ROUND((($C331*G330)-BarWeight)/2/Rounding,0)*Rounding)</f>
        <v>355</v>
      </c>
      <c r="D350" s="133">
        <f>IF(WeightFormat="Yes",ROUND(($C331*H330)/Rounding,0)*Rounding,ROUND((($C331*H330)-BarWeight)/2/Rounding,0)*Rounding)</f>
        <v>375</v>
      </c>
      <c r="E350" s="133">
        <f>IF(WeightFormat="Yes",ROUND(($C331*I330)/Rounding,0)*Rounding,ROUND((($C331*I330)-BarWeight)/2/Rounding,0)*Rounding)</f>
        <v>220</v>
      </c>
      <c r="F350" s="66"/>
      <c r="G350" s="66"/>
      <c r="H350" s="66"/>
      <c r="I350" s="56"/>
      <c r="K350" s="56"/>
      <c r="L350" s="56"/>
    </row>
    <row r="351" spans="1:12" s="137" customFormat="1" ht="15">
      <c r="A351" s="135" t="s">
        <v>36</v>
      </c>
      <c r="B351" s="93">
        <f>IF(WeightFormat="Yes",ROUND(($C331*F331)/Rounding,0)*Rounding,ROUND((($C331*F331)-BarWeight)/2/Rounding,0)*Rounding)</f>
        <v>375</v>
      </c>
      <c r="C351" s="93">
        <f>IF(WeightFormat="Yes",ROUND(($C331*G331)/Rounding,0)*Rounding,ROUND((($C331*G331)-BarWeight)/2/Rounding,0)*Rounding)</f>
        <v>395</v>
      </c>
      <c r="D351" s="93">
        <f>IF(WeightFormat="Yes",ROUND(($C331*H331)/Rounding,0)*Rounding,ROUND((($C331*H331)-BarWeight)/2/Rounding,0)*Rounding)</f>
        <v>420</v>
      </c>
      <c r="E351" s="93">
        <f>IF(WeightFormat="Yes",ROUND(($C331*I331)/Rounding,0)*Rounding,ROUND((($C331*I331)-BarWeight)/2/Rounding,0)*Rounding)</f>
        <v>265</v>
      </c>
      <c r="F351" s="57"/>
      <c r="G351" s="58">
        <f>IF(OR(ISERROR(F352),ISERROR(G352)),0,(G352-F352)/F352)</f>
        <v>0</v>
      </c>
      <c r="H351" s="58">
        <f>IF(OR(ISERROR(G352),ISERROR(H352)),0,(H352-G352)/G352)</f>
        <v>0</v>
      </c>
      <c r="I351" s="59"/>
      <c r="K351" s="59"/>
      <c r="L351" s="59"/>
    </row>
    <row r="352" spans="1:12" s="154" customFormat="1" ht="15.75" thickBot="1">
      <c r="A352" s="153" t="s">
        <v>37</v>
      </c>
      <c r="B352" s="97"/>
      <c r="C352" s="97"/>
      <c r="D352" s="97"/>
      <c r="E352" s="97" t="s">
        <v>15</v>
      </c>
      <c r="F352" s="77" t="e">
        <f>IF(B352=0,NA(),IF(WeightFormat="No",((B351*2)+BarWeight)/(1.0278-(0.0278*B352)),B351/(1.0278-(0.0278*B352))))</f>
        <v>#N/A</v>
      </c>
      <c r="G352" s="77" t="e">
        <f>IF(C352=0,NA(),IF(WeightFormat="No",((C351*2)+BarWeight)/(1.0278-(0.0278*C352)),C351/(1.0278-(0.0278*C352))))</f>
        <v>#N/A</v>
      </c>
      <c r="H352" s="77" t="e">
        <f>IF(D352=0,NA(),IF(WeightFormat="No",((D351*2)+BarWeight)/(1.0278-(0.0278*D352)),D351/(1.0278-(0.0278*D352))))</f>
        <v>#N/A</v>
      </c>
      <c r="I352" s="87"/>
      <c r="K352" s="101" t="str">
        <f>K325</f>
        <v>5 x 10</v>
      </c>
      <c r="L352" s="101" t="str">
        <f>L325</f>
        <v>3 x 10</v>
      </c>
    </row>
  </sheetData>
  <sheetProtection/>
  <mergeCells count="40">
    <mergeCell ref="D300:E304"/>
    <mergeCell ref="F300:I300"/>
    <mergeCell ref="B245:I245"/>
    <mergeCell ref="D246:E250"/>
    <mergeCell ref="F246:I246"/>
    <mergeCell ref="B326:I326"/>
    <mergeCell ref="D327:E331"/>
    <mergeCell ref="F327:I327"/>
    <mergeCell ref="B272:I272"/>
    <mergeCell ref="D273:E277"/>
    <mergeCell ref="F273:I273"/>
    <mergeCell ref="B299:I299"/>
    <mergeCell ref="B191:I191"/>
    <mergeCell ref="D192:E196"/>
    <mergeCell ref="F192:I192"/>
    <mergeCell ref="B218:I218"/>
    <mergeCell ref="D219:E223"/>
    <mergeCell ref="F219:I219"/>
    <mergeCell ref="B137:I137"/>
    <mergeCell ref="D138:E142"/>
    <mergeCell ref="F138:I138"/>
    <mergeCell ref="B164:I164"/>
    <mergeCell ref="D165:E169"/>
    <mergeCell ref="F165:I165"/>
    <mergeCell ref="F57:I57"/>
    <mergeCell ref="D3:E7"/>
    <mergeCell ref="D30:E34"/>
    <mergeCell ref="D57:E61"/>
    <mergeCell ref="D111:E115"/>
    <mergeCell ref="F111:I111"/>
    <mergeCell ref="K1:L1"/>
    <mergeCell ref="B2:I2"/>
    <mergeCell ref="B29:I29"/>
    <mergeCell ref="B56:I56"/>
    <mergeCell ref="B83:I83"/>
    <mergeCell ref="B110:I110"/>
    <mergeCell ref="D84:E88"/>
    <mergeCell ref="F84:I84"/>
    <mergeCell ref="F3:I3"/>
    <mergeCell ref="F30:I30"/>
  </mergeCells>
  <conditionalFormatting sqref="B1:E65536">
    <cfRule type="cellIs" priority="1" dxfId="1" operator="equal" stopIfTrue="1">
      <formula>TODAY()</formula>
    </cfRule>
  </conditionalFormatting>
  <dataValidations count="2">
    <dataValidation type="whole" allowBlank="1" showInputMessage="1" showErrorMessage="1" promptTitle="Attention" prompt="How many reps on your last set? Enter numbers only." sqref="B13:E13 B18:E18 B23:E23 B28:E28 B40:E40 B45:E45 B50:E50 B55:E55 B310:E310 B315:E315 B320:E320 B325:E325 B67:E67 B72:E72 B77:E77 B82:E82 B94:E94 B99:E99 B104:E104 B109:E109 B121:E121 B126:E126 B131:E131 B136:E136 B148:E148 B153:E153 B158:E158 B163:E163 B175:E175 B180:E180 B185:E185 B190:E190 B202:E202 B207:E207 B212:E212 B217:E217 B229:E229 B234:E234 B239:E239 B244:E244 B256:E256 B261:E261 B266:E266 B271:E271 B283:E283 B288:E288 B293:E293 B298:E298 B337:E337 B342:E342 B347:E347 B352:E352">
      <formula1>0</formula1>
      <formula2>9.99999999999999E+30</formula2>
    </dataValidation>
    <dataValidation allowBlank="1" showInputMessage="1" showErrorMessage="1" promptTitle="Attention" prompt="You may customize the number of sets and reps you do for your assistance exercises." sqref="K13:L13 K18:L18 K23:L23 K28:L28"/>
  </dataValidations>
  <printOptions horizontalCentered="1" verticalCentered="1"/>
  <pageMargins left="0.45" right="0.45" top="0.5" bottom="0.5" header="0.05" footer="0.05"/>
  <pageSetup fitToHeight="13" horizontalDpi="600" verticalDpi="600" orientation="landscape" paperSize="9" scale="70" r:id="rId1"/>
  <headerFooter>
    <oddFooter>&amp;RPage &amp;P  of &amp;N | &amp;D</oddFooter>
  </headerFooter>
  <rowBreaks count="12" manualBreakCount="12">
    <brk id="28" max="255" man="1"/>
    <brk id="55" max="255" man="1"/>
    <brk id="82" max="255" man="1"/>
    <brk id="109" max="255" man="1"/>
    <brk id="136" max="255" man="1"/>
    <brk id="163" max="255" man="1"/>
    <brk id="190" max="255" man="1"/>
    <brk id="217" max="255" man="1"/>
    <brk id="244" max="255" man="1"/>
    <brk id="271" max="255" man="1"/>
    <brk id="298" max="255" man="1"/>
    <brk id="325"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N94"/>
  <sheetViews>
    <sheetView showGridLines="0" tabSelected="1" zoomScale="85" zoomScaleNormal="85" zoomScaleSheetLayoutView="85" zoomScalePageLayoutView="0" workbookViewId="0" topLeftCell="A1">
      <pane xSplit="1" ySplit="2" topLeftCell="B3" activePane="bottomRight" state="frozen"/>
      <selection pane="topLeft" activeCell="A1" sqref="A1"/>
      <selection pane="topRight" activeCell="E1" sqref="E1"/>
      <selection pane="bottomLeft" activeCell="A12" sqref="A12"/>
      <selection pane="bottomRight" activeCell="A1" sqref="A1"/>
    </sheetView>
  </sheetViews>
  <sheetFormatPr defaultColWidth="23.421875" defaultRowHeight="15"/>
  <cols>
    <col min="1" max="1" width="28.28125" style="3" bestFit="1" customWidth="1"/>
    <col min="2" max="2" width="12.00390625" style="3" bestFit="1" customWidth="1"/>
    <col min="3" max="3" width="12.140625" style="3" bestFit="1" customWidth="1"/>
    <col min="4" max="4" width="12.57421875" style="3" bestFit="1" customWidth="1"/>
    <col min="5" max="5" width="12.00390625" style="3" bestFit="1" customWidth="1"/>
    <col min="6" max="7" width="12.7109375" style="3" bestFit="1" customWidth="1"/>
    <col min="8" max="8" width="12.00390625" style="3" bestFit="1" customWidth="1"/>
    <col min="9" max="9" width="11.421875" style="3" bestFit="1" customWidth="1"/>
    <col min="10" max="11" width="12.140625" style="3" bestFit="1" customWidth="1"/>
    <col min="12" max="12" width="12.00390625" style="3" bestFit="1" customWidth="1"/>
    <col min="13" max="13" width="12.28125" style="3" bestFit="1" customWidth="1"/>
    <col min="14" max="14" width="12.421875" style="3" bestFit="1" customWidth="1"/>
    <col min="15" max="15" width="1.7109375" style="3" customWidth="1"/>
    <col min="16" max="16" width="23.421875" style="3" customWidth="1"/>
    <col min="17" max="16384" width="23.421875" style="3" customWidth="1"/>
  </cols>
  <sheetData>
    <row r="1" spans="1:14" s="10" customFormat="1" ht="15">
      <c r="A1" s="7" t="s">
        <v>17</v>
      </c>
      <c r="B1" s="8">
        <v>1</v>
      </c>
      <c r="C1" s="8">
        <v>2</v>
      </c>
      <c r="D1" s="8">
        <v>3</v>
      </c>
      <c r="E1" s="8">
        <v>4</v>
      </c>
      <c r="F1" s="8">
        <v>5</v>
      </c>
      <c r="G1" s="8">
        <v>6</v>
      </c>
      <c r="H1" s="8">
        <v>7</v>
      </c>
      <c r="I1" s="8">
        <v>8</v>
      </c>
      <c r="J1" s="8">
        <v>9</v>
      </c>
      <c r="K1" s="8">
        <v>10</v>
      </c>
      <c r="L1" s="8">
        <v>11</v>
      </c>
      <c r="M1" s="8">
        <v>12</v>
      </c>
      <c r="N1" s="8">
        <v>13</v>
      </c>
    </row>
    <row r="2" spans="1:14" s="1" customFormat="1" ht="15.75" thickBot="1">
      <c r="A2" s="11"/>
      <c r="B2" s="12">
        <f>'Wendler''s 5-3-1'!B9</f>
        <v>40553</v>
      </c>
      <c r="C2" s="12">
        <f>'Wendler''s 5-3-1'!B36</f>
        <v>40581</v>
      </c>
      <c r="D2" s="12">
        <f>'Wendler''s 5-3-1'!B63</f>
        <v>40609</v>
      </c>
      <c r="E2" s="12">
        <f>'Wendler''s 5-3-1'!B90</f>
        <v>40637</v>
      </c>
      <c r="F2" s="12">
        <f>'Wendler''s 5-3-1'!B117</f>
        <v>40665</v>
      </c>
      <c r="G2" s="12">
        <f>'Wendler''s 5-3-1'!B144</f>
        <v>40693</v>
      </c>
      <c r="H2" s="12">
        <f>'Wendler''s 5-3-1'!B171</f>
        <v>40721</v>
      </c>
      <c r="I2" s="12">
        <f>'Wendler''s 5-3-1'!B198</f>
        <v>40749</v>
      </c>
      <c r="J2" s="12">
        <f>'Wendler''s 5-3-1'!B225</f>
        <v>40777</v>
      </c>
      <c r="K2" s="12">
        <f>'Wendler''s 5-3-1'!B252</f>
        <v>40805</v>
      </c>
      <c r="L2" s="12">
        <f>'Wendler''s 5-3-1'!B279</f>
        <v>40833</v>
      </c>
      <c r="M2" s="12">
        <f>'Wendler''s 5-3-1'!B306</f>
        <v>40861</v>
      </c>
      <c r="N2" s="12">
        <f>'Wendler''s 5-3-1'!B333</f>
        <v>40889</v>
      </c>
    </row>
    <row r="3" spans="1:14" s="15" customFormat="1" ht="15">
      <c r="A3" s="13" t="s">
        <v>16</v>
      </c>
      <c r="B3" s="14">
        <f>Questions!C5</f>
        <v>300</v>
      </c>
      <c r="C3" s="196">
        <v>300</v>
      </c>
      <c r="D3" s="196"/>
      <c r="E3" s="196"/>
      <c r="F3" s="196"/>
      <c r="G3" s="196"/>
      <c r="H3" s="196"/>
      <c r="I3" s="196"/>
      <c r="J3" s="196"/>
      <c r="K3" s="196"/>
      <c r="L3" s="196"/>
      <c r="M3" s="196"/>
      <c r="N3" s="196"/>
    </row>
    <row r="4" spans="1:14" s="15" customFormat="1" ht="15">
      <c r="A4" s="16" t="s">
        <v>19</v>
      </c>
      <c r="B4" s="230">
        <f>IF(ISERROR(AVERAGE(B3:N3)),"NA",AVERAGE(B3:N3))</f>
        <v>300</v>
      </c>
      <c r="C4" s="231"/>
      <c r="D4" s="231"/>
      <c r="E4" s="231"/>
      <c r="F4" s="231"/>
      <c r="G4" s="231"/>
      <c r="H4" s="231"/>
      <c r="I4" s="231"/>
      <c r="J4" s="231"/>
      <c r="K4" s="231"/>
      <c r="L4" s="231"/>
      <c r="M4" s="231"/>
      <c r="N4" s="232"/>
    </row>
    <row r="5" spans="1:14" s="18" customFormat="1" ht="15">
      <c r="A5" s="17" t="s">
        <v>51</v>
      </c>
      <c r="B5" s="224"/>
      <c r="C5" s="225"/>
      <c r="D5" s="225"/>
      <c r="E5" s="225"/>
      <c r="F5" s="225"/>
      <c r="G5" s="225"/>
      <c r="H5" s="225"/>
      <c r="I5" s="225"/>
      <c r="J5" s="225"/>
      <c r="K5" s="225"/>
      <c r="L5" s="225"/>
      <c r="M5" s="225"/>
      <c r="N5" s="226"/>
    </row>
    <row r="6" spans="1:14" ht="15">
      <c r="A6" s="19" t="str">
        <f>'Wendler''s 5-3-1'!A4</f>
        <v>Squat</v>
      </c>
      <c r="B6" s="39" t="e">
        <f ca="1">OFFSET('Wendler''s 5-3-1'!$H$13,(27*(1*(B$1-1))),0,1,1)</f>
        <v>#N/A</v>
      </c>
      <c r="C6" s="39" t="e">
        <f ca="1">OFFSET('Wendler''s 5-3-1'!$H$13,(27*(1*(C$1-1))),0,1,1)</f>
        <v>#N/A</v>
      </c>
      <c r="D6" s="39" t="e">
        <f ca="1">OFFSET('Wendler''s 5-3-1'!$H$13,(27*(1*(D$1-1))),0,1,1)</f>
        <v>#N/A</v>
      </c>
      <c r="E6" s="39" t="e">
        <f ca="1">OFFSET('Wendler''s 5-3-1'!$H$13,(27*(1*(E$1-1))),0,1,1)</f>
        <v>#N/A</v>
      </c>
      <c r="F6" s="39" t="e">
        <f ca="1">OFFSET('Wendler''s 5-3-1'!$H$13,(27*(1*(F$1-1))),0,1,1)</f>
        <v>#N/A</v>
      </c>
      <c r="G6" s="39" t="e">
        <f ca="1">OFFSET('Wendler''s 5-3-1'!$H$13,(27*(1*(G$1-1))),0,1,1)</f>
        <v>#N/A</v>
      </c>
      <c r="H6" s="39" t="e">
        <f ca="1">OFFSET('Wendler''s 5-3-1'!$H$13,(27*(1*(H$1-1))),0,1,1)</f>
        <v>#N/A</v>
      </c>
      <c r="I6" s="39" t="e">
        <f ca="1">OFFSET('Wendler''s 5-3-1'!$H$13,(27*(1*(I$1-1))),0,1,1)</f>
        <v>#N/A</v>
      </c>
      <c r="J6" s="39" t="e">
        <f ca="1">OFFSET('Wendler''s 5-3-1'!$H$13,(27*(1*(J$1-1))),0,1,1)</f>
        <v>#N/A</v>
      </c>
      <c r="K6" s="39" t="e">
        <f ca="1">OFFSET('Wendler''s 5-3-1'!$H$13,(27*(1*(K$1-1))),0,1,1)</f>
        <v>#N/A</v>
      </c>
      <c r="L6" s="39" t="e">
        <f ca="1">OFFSET('Wendler''s 5-3-1'!$H$13,(27*(1*(L$1-1))),0,1,1)</f>
        <v>#N/A</v>
      </c>
      <c r="M6" s="39" t="e">
        <f ca="1">OFFSET('Wendler''s 5-3-1'!$H$13,(27*(1*(M$1-1))),0,1,1)</f>
        <v>#N/A</v>
      </c>
      <c r="N6" s="39" t="e">
        <f ca="1">OFFSET('Wendler''s 5-3-1'!$H$13,(27*(1*(N$1-1))),0,1,1)</f>
        <v>#N/A</v>
      </c>
    </row>
    <row r="7" spans="1:14" s="6" customFormat="1" ht="15">
      <c r="A7" s="20" t="str">
        <f>'Wendler''s 5-3-1'!A5</f>
        <v>Bench Press</v>
      </c>
      <c r="B7" s="26" t="e">
        <f ca="1">OFFSET('Wendler''s 5-3-1'!$H$18,(27*(1*(B$1-1))),0,1,1)</f>
        <v>#N/A</v>
      </c>
      <c r="C7" s="26" t="e">
        <f ca="1">OFFSET('Wendler''s 5-3-1'!$H$18,(27*(1*(C$1-1))),0,1,1)</f>
        <v>#N/A</v>
      </c>
      <c r="D7" s="26" t="e">
        <f ca="1">OFFSET('Wendler''s 5-3-1'!$H$18,(27*(1*(D$1-1))),0,1,1)</f>
        <v>#N/A</v>
      </c>
      <c r="E7" s="26" t="e">
        <f ca="1">OFFSET('Wendler''s 5-3-1'!$H$18,(27*(1*(E$1-1))),0,1,1)</f>
        <v>#N/A</v>
      </c>
      <c r="F7" s="26" t="e">
        <f ca="1">OFFSET('Wendler''s 5-3-1'!$H$18,(27*(1*(F$1-1))),0,1,1)</f>
        <v>#N/A</v>
      </c>
      <c r="G7" s="26" t="e">
        <f ca="1">OFFSET('Wendler''s 5-3-1'!$H$18,(27*(1*(G$1-1))),0,1,1)</f>
        <v>#N/A</v>
      </c>
      <c r="H7" s="26" t="e">
        <f ca="1">OFFSET('Wendler''s 5-3-1'!$H$18,(27*(1*(H$1-1))),0,1,1)</f>
        <v>#N/A</v>
      </c>
      <c r="I7" s="26" t="e">
        <f ca="1">OFFSET('Wendler''s 5-3-1'!$H$18,(27*(1*(I$1-1))),0,1,1)</f>
        <v>#N/A</v>
      </c>
      <c r="J7" s="26" t="e">
        <f ca="1">OFFSET('Wendler''s 5-3-1'!$H$18,(27*(1*(J$1-1))),0,1,1)</f>
        <v>#N/A</v>
      </c>
      <c r="K7" s="26" t="e">
        <f ca="1">OFFSET('Wendler''s 5-3-1'!$H$18,(27*(1*(K$1-1))),0,1,1)</f>
        <v>#N/A</v>
      </c>
      <c r="L7" s="26" t="e">
        <f ca="1">OFFSET('Wendler''s 5-3-1'!$H$18,(27*(1*(L$1-1))),0,1,1)</f>
        <v>#N/A</v>
      </c>
      <c r="M7" s="26" t="e">
        <f ca="1">OFFSET('Wendler''s 5-3-1'!$H$18,(27*(1*(M$1-1))),0,1,1)</f>
        <v>#N/A</v>
      </c>
      <c r="N7" s="26" t="e">
        <f ca="1">OFFSET('Wendler''s 5-3-1'!$H$18,(27*(1*(N$1-1))),0,1,1)</f>
        <v>#N/A</v>
      </c>
    </row>
    <row r="8" spans="1:14" ht="15">
      <c r="A8" s="2" t="str">
        <f>'Wendler''s 5-3-1'!A6</f>
        <v>Deadlift</v>
      </c>
      <c r="B8" s="39" t="e">
        <f ca="1">OFFSET('Wendler''s 5-3-1'!$H$23,(27*(1*(B$1-1))),0,1,1)</f>
        <v>#N/A</v>
      </c>
      <c r="C8" s="39" t="e">
        <f ca="1">OFFSET('Wendler''s 5-3-1'!$H$23,(27*(1*(C$1-1))),0,1,1)</f>
        <v>#N/A</v>
      </c>
      <c r="D8" s="39" t="e">
        <f ca="1">OFFSET('Wendler''s 5-3-1'!$H$23,(27*(1*(D$1-1))),0,1,1)</f>
        <v>#N/A</v>
      </c>
      <c r="E8" s="39" t="e">
        <f ca="1">OFFSET('Wendler''s 5-3-1'!$H$23,(27*(1*(E$1-1))),0,1,1)</f>
        <v>#N/A</v>
      </c>
      <c r="F8" s="39" t="e">
        <f ca="1">OFFSET('Wendler''s 5-3-1'!$H$23,(27*(1*(F$1-1))),0,1,1)</f>
        <v>#N/A</v>
      </c>
      <c r="G8" s="39" t="e">
        <f ca="1">OFFSET('Wendler''s 5-3-1'!$H$23,(27*(1*(G$1-1))),0,1,1)</f>
        <v>#N/A</v>
      </c>
      <c r="H8" s="39" t="e">
        <f ca="1">OFFSET('Wendler''s 5-3-1'!$H$23,(27*(1*(H$1-1))),0,1,1)</f>
        <v>#N/A</v>
      </c>
      <c r="I8" s="39" t="e">
        <f ca="1">OFFSET('Wendler''s 5-3-1'!$H$23,(27*(1*(I$1-1))),0,1,1)</f>
        <v>#N/A</v>
      </c>
      <c r="J8" s="39" t="e">
        <f ca="1">OFFSET('Wendler''s 5-3-1'!$H$23,(27*(1*(J$1-1))),0,1,1)</f>
        <v>#N/A</v>
      </c>
      <c r="K8" s="39" t="e">
        <f ca="1">OFFSET('Wendler''s 5-3-1'!$H$23,(27*(1*(K$1-1))),0,1,1)</f>
        <v>#N/A</v>
      </c>
      <c r="L8" s="39" t="e">
        <f ca="1">OFFSET('Wendler''s 5-3-1'!$H$23,(27*(1*(L$1-1))),0,1,1)</f>
        <v>#N/A</v>
      </c>
      <c r="M8" s="39" t="e">
        <f ca="1">OFFSET('Wendler''s 5-3-1'!$H$23,(27*(1*(M$1-1))),0,1,1)</f>
        <v>#N/A</v>
      </c>
      <c r="N8" s="39" t="e">
        <f ca="1">OFFSET('Wendler''s 5-3-1'!$H$23,(27*(1*(N$1-1))),0,1,1)</f>
        <v>#N/A</v>
      </c>
    </row>
    <row r="9" spans="1:14" s="6" customFormat="1" ht="15">
      <c r="A9" s="21" t="str">
        <f>'Wendler''s 5-3-1'!A7</f>
        <v>Shoulder Press</v>
      </c>
      <c r="B9" s="26" t="e">
        <f ca="1">OFFSET('Wendler''s 5-3-1'!$H$28,(27*(1*(B$1-1))),0,1,1)</f>
        <v>#N/A</v>
      </c>
      <c r="C9" s="26" t="e">
        <f ca="1">OFFSET('Wendler''s 5-3-1'!$H$28,(27*(1*(C$1-1))),0,1,1)</f>
        <v>#N/A</v>
      </c>
      <c r="D9" s="26" t="e">
        <f ca="1">OFFSET('Wendler''s 5-3-1'!$H$28,(27*(1*(D$1-1))),0,1,1)</f>
        <v>#N/A</v>
      </c>
      <c r="E9" s="26" t="e">
        <f ca="1">OFFSET('Wendler''s 5-3-1'!$H$28,(27*(1*(E$1-1))),0,1,1)</f>
        <v>#N/A</v>
      </c>
      <c r="F9" s="26" t="e">
        <f ca="1">OFFSET('Wendler''s 5-3-1'!$H$28,(27*(1*(F$1-1))),0,1,1)</f>
        <v>#N/A</v>
      </c>
      <c r="G9" s="26" t="e">
        <f ca="1">OFFSET('Wendler''s 5-3-1'!$H$28,(27*(1*(G$1-1))),0,1,1)</f>
        <v>#N/A</v>
      </c>
      <c r="H9" s="26" t="e">
        <f ca="1">OFFSET('Wendler''s 5-3-1'!$H$28,(27*(1*(H$1-1))),0,1,1)</f>
        <v>#N/A</v>
      </c>
      <c r="I9" s="26" t="e">
        <f ca="1">OFFSET('Wendler''s 5-3-1'!$H$28,(27*(1*(I$1-1))),0,1,1)</f>
        <v>#N/A</v>
      </c>
      <c r="J9" s="26" t="e">
        <f ca="1">OFFSET('Wendler''s 5-3-1'!$H$28,(27*(1*(J$1-1))),0,1,1)</f>
        <v>#N/A</v>
      </c>
      <c r="K9" s="26" t="e">
        <f ca="1">OFFSET('Wendler''s 5-3-1'!$H$28,(27*(1*(K$1-1))),0,1,1)</f>
        <v>#N/A</v>
      </c>
      <c r="L9" s="26" t="e">
        <f ca="1">OFFSET('Wendler''s 5-3-1'!$H$28,(27*(1*(L$1-1))),0,1,1)</f>
        <v>#N/A</v>
      </c>
      <c r="M9" s="26" t="e">
        <f ca="1">OFFSET('Wendler''s 5-3-1'!$H$28,(27*(1*(M$1-1))),0,1,1)</f>
        <v>#N/A</v>
      </c>
      <c r="N9" s="26" t="e">
        <f ca="1">OFFSET('Wendler''s 5-3-1'!$H$28,(27*(1*(N$1-1))),0,1,1)</f>
        <v>#N/A</v>
      </c>
    </row>
    <row r="10" spans="1:14" s="23" customFormat="1" ht="15">
      <c r="A10" s="22" t="s">
        <v>18</v>
      </c>
      <c r="B10" s="227"/>
      <c r="C10" s="228"/>
      <c r="D10" s="228"/>
      <c r="E10" s="228"/>
      <c r="F10" s="228"/>
      <c r="G10" s="228"/>
      <c r="H10" s="228"/>
      <c r="I10" s="228"/>
      <c r="J10" s="228"/>
      <c r="K10" s="228"/>
      <c r="L10" s="228"/>
      <c r="M10" s="228"/>
      <c r="N10" s="229"/>
    </row>
    <row r="11" spans="1:14" ht="15">
      <c r="A11" s="19" t="str">
        <f>A6&amp;" Ratio"</f>
        <v>Squat Ratio</v>
      </c>
      <c r="B11" s="24">
        <f aca="true" t="shared" si="0" ref="B11:N11">IF(ISERROR(B6/B$3),0,B6/B$3)</f>
        <v>0</v>
      </c>
      <c r="C11" s="25">
        <f t="shared" si="0"/>
        <v>0</v>
      </c>
      <c r="D11" s="24">
        <f t="shared" si="0"/>
        <v>0</v>
      </c>
      <c r="E11" s="25">
        <f t="shared" si="0"/>
        <v>0</v>
      </c>
      <c r="F11" s="24">
        <f t="shared" si="0"/>
        <v>0</v>
      </c>
      <c r="G11" s="24">
        <f t="shared" si="0"/>
        <v>0</v>
      </c>
      <c r="H11" s="24">
        <f t="shared" si="0"/>
        <v>0</v>
      </c>
      <c r="I11" s="24">
        <f t="shared" si="0"/>
        <v>0</v>
      </c>
      <c r="J11" s="24">
        <f t="shared" si="0"/>
        <v>0</v>
      </c>
      <c r="K11" s="24">
        <f t="shared" si="0"/>
        <v>0</v>
      </c>
      <c r="L11" s="24">
        <f t="shared" si="0"/>
        <v>0</v>
      </c>
      <c r="M11" s="24">
        <f t="shared" si="0"/>
        <v>0</v>
      </c>
      <c r="N11" s="24">
        <f t="shared" si="0"/>
        <v>0</v>
      </c>
    </row>
    <row r="12" spans="1:14" s="6" customFormat="1" ht="15">
      <c r="A12" s="20" t="str">
        <f>A7&amp;" Ratio"</f>
        <v>Bench Press Ratio</v>
      </c>
      <c r="B12" s="26">
        <f aca="true" t="shared" si="1" ref="B12:N12">IF(ISERROR(B7/B$3),0,B7/B$3)</f>
        <v>0</v>
      </c>
      <c r="C12" s="27">
        <f t="shared" si="1"/>
        <v>0</v>
      </c>
      <c r="D12" s="26">
        <f t="shared" si="1"/>
        <v>0</v>
      </c>
      <c r="E12" s="27">
        <f t="shared" si="1"/>
        <v>0</v>
      </c>
      <c r="F12" s="26">
        <f t="shared" si="1"/>
        <v>0</v>
      </c>
      <c r="G12" s="26">
        <f t="shared" si="1"/>
        <v>0</v>
      </c>
      <c r="H12" s="26">
        <f t="shared" si="1"/>
        <v>0</v>
      </c>
      <c r="I12" s="26">
        <f t="shared" si="1"/>
        <v>0</v>
      </c>
      <c r="J12" s="26">
        <f t="shared" si="1"/>
        <v>0</v>
      </c>
      <c r="K12" s="26">
        <f t="shared" si="1"/>
        <v>0</v>
      </c>
      <c r="L12" s="26">
        <f t="shared" si="1"/>
        <v>0</v>
      </c>
      <c r="M12" s="26">
        <f t="shared" si="1"/>
        <v>0</v>
      </c>
      <c r="N12" s="26">
        <f t="shared" si="1"/>
        <v>0</v>
      </c>
    </row>
    <row r="13" spans="1:14" ht="15">
      <c r="A13" s="2" t="str">
        <f>A8&amp;" Ratio"</f>
        <v>Deadlift Ratio</v>
      </c>
      <c r="B13" s="28">
        <f aca="true" t="shared" si="2" ref="B13:N13">IF(ISERROR(B8/B$3),0,B8/B$3)</f>
        <v>0</v>
      </c>
      <c r="C13" s="29">
        <f t="shared" si="2"/>
        <v>0</v>
      </c>
      <c r="D13" s="28">
        <f t="shared" si="2"/>
        <v>0</v>
      </c>
      <c r="E13" s="29">
        <f t="shared" si="2"/>
        <v>0</v>
      </c>
      <c r="F13" s="28">
        <f t="shared" si="2"/>
        <v>0</v>
      </c>
      <c r="G13" s="28">
        <f t="shared" si="2"/>
        <v>0</v>
      </c>
      <c r="H13" s="28">
        <f t="shared" si="2"/>
        <v>0</v>
      </c>
      <c r="I13" s="28">
        <f t="shared" si="2"/>
        <v>0</v>
      </c>
      <c r="J13" s="28">
        <f t="shared" si="2"/>
        <v>0</v>
      </c>
      <c r="K13" s="28">
        <f t="shared" si="2"/>
        <v>0</v>
      </c>
      <c r="L13" s="28">
        <f t="shared" si="2"/>
        <v>0</v>
      </c>
      <c r="M13" s="28">
        <f t="shared" si="2"/>
        <v>0</v>
      </c>
      <c r="N13" s="28">
        <f t="shared" si="2"/>
        <v>0</v>
      </c>
    </row>
    <row r="14" spans="1:14" s="6" customFormat="1" ht="15">
      <c r="A14" s="21" t="str">
        <f>A9&amp;" Ratio"</f>
        <v>Shoulder Press Ratio</v>
      </c>
      <c r="B14" s="30">
        <f aca="true" t="shared" si="3" ref="B14:N14">IF(ISERROR(B9/B$3),0,B9/B$3)</f>
        <v>0</v>
      </c>
      <c r="C14" s="31">
        <f t="shared" si="3"/>
        <v>0</v>
      </c>
      <c r="D14" s="30">
        <f t="shared" si="3"/>
        <v>0</v>
      </c>
      <c r="E14" s="31">
        <f t="shared" si="3"/>
        <v>0</v>
      </c>
      <c r="F14" s="30">
        <f t="shared" si="3"/>
        <v>0</v>
      </c>
      <c r="G14" s="30">
        <f t="shared" si="3"/>
        <v>0</v>
      </c>
      <c r="H14" s="30">
        <f t="shared" si="3"/>
        <v>0</v>
      </c>
      <c r="I14" s="30">
        <f t="shared" si="3"/>
        <v>0</v>
      </c>
      <c r="J14" s="30">
        <f t="shared" si="3"/>
        <v>0</v>
      </c>
      <c r="K14" s="30">
        <f t="shared" si="3"/>
        <v>0</v>
      </c>
      <c r="L14" s="30">
        <f t="shared" si="3"/>
        <v>0</v>
      </c>
      <c r="M14" s="30">
        <f t="shared" si="3"/>
        <v>0</v>
      </c>
      <c r="N14" s="30">
        <f t="shared" si="3"/>
        <v>0</v>
      </c>
    </row>
    <row r="15" spans="1:14" s="10" customFormat="1" ht="15">
      <c r="A15" s="7" t="s">
        <v>33</v>
      </c>
      <c r="B15" s="32"/>
      <c r="C15" s="32"/>
      <c r="D15" s="32"/>
      <c r="E15" s="32"/>
      <c r="F15" s="32"/>
      <c r="G15" s="32"/>
      <c r="H15" s="32"/>
      <c r="I15" s="32"/>
      <c r="J15" s="32"/>
      <c r="K15" s="32"/>
      <c r="L15" s="32"/>
      <c r="M15" s="32"/>
      <c r="N15" s="9"/>
    </row>
    <row r="16" spans="1:14" s="10" customFormat="1" ht="15">
      <c r="A16" s="33"/>
      <c r="B16" s="5"/>
      <c r="C16" s="5"/>
      <c r="D16" s="5"/>
      <c r="E16" s="5"/>
      <c r="F16" s="5"/>
      <c r="G16" s="5"/>
      <c r="H16" s="5"/>
      <c r="I16" s="5"/>
      <c r="J16" s="5"/>
      <c r="K16" s="5"/>
      <c r="L16" s="5"/>
      <c r="M16" s="5"/>
      <c r="N16" s="34"/>
    </row>
    <row r="17" spans="1:14" s="10" customFormat="1" ht="15">
      <c r="A17" s="33"/>
      <c r="B17" s="5"/>
      <c r="C17" s="5"/>
      <c r="D17" s="5"/>
      <c r="E17" s="5"/>
      <c r="F17" s="5"/>
      <c r="G17" s="5"/>
      <c r="H17" s="5"/>
      <c r="I17" s="5"/>
      <c r="J17" s="5"/>
      <c r="K17" s="5"/>
      <c r="L17" s="5"/>
      <c r="M17" s="5"/>
      <c r="N17" s="34"/>
    </row>
    <row r="18" spans="1:14" s="10" customFormat="1" ht="15">
      <c r="A18" s="33"/>
      <c r="B18" s="5"/>
      <c r="C18" s="5"/>
      <c r="D18" s="5"/>
      <c r="E18" s="5"/>
      <c r="F18" s="5"/>
      <c r="G18" s="5"/>
      <c r="H18" s="5"/>
      <c r="I18" s="5"/>
      <c r="J18" s="5"/>
      <c r="K18" s="5"/>
      <c r="L18" s="5"/>
      <c r="M18" s="5"/>
      <c r="N18" s="34"/>
    </row>
    <row r="19" spans="1:14" s="10" customFormat="1" ht="15">
      <c r="A19" s="33"/>
      <c r="B19" s="5"/>
      <c r="C19" s="5"/>
      <c r="D19" s="5"/>
      <c r="E19" s="5"/>
      <c r="F19" s="5"/>
      <c r="G19" s="5"/>
      <c r="H19" s="5"/>
      <c r="I19" s="5"/>
      <c r="J19" s="5"/>
      <c r="K19" s="5"/>
      <c r="L19" s="5"/>
      <c r="M19" s="5"/>
      <c r="N19" s="34"/>
    </row>
    <row r="20" spans="1:14" s="10" customFormat="1" ht="15">
      <c r="A20" s="33"/>
      <c r="B20" s="5"/>
      <c r="C20" s="5"/>
      <c r="D20" s="5"/>
      <c r="E20" s="5"/>
      <c r="F20" s="5"/>
      <c r="G20" s="5"/>
      <c r="H20" s="5"/>
      <c r="I20" s="5"/>
      <c r="J20" s="5"/>
      <c r="K20" s="5"/>
      <c r="L20" s="5"/>
      <c r="M20" s="5"/>
      <c r="N20" s="34"/>
    </row>
    <row r="21" spans="1:14" s="10" customFormat="1" ht="15">
      <c r="A21" s="33"/>
      <c r="B21" s="5"/>
      <c r="C21" s="5"/>
      <c r="D21" s="5"/>
      <c r="E21" s="5"/>
      <c r="F21" s="5"/>
      <c r="G21" s="5"/>
      <c r="H21" s="5"/>
      <c r="I21" s="5"/>
      <c r="J21" s="5"/>
      <c r="K21" s="5"/>
      <c r="L21" s="5"/>
      <c r="M21" s="5"/>
      <c r="N21" s="34"/>
    </row>
    <row r="22" spans="1:14" s="10" customFormat="1" ht="15">
      <c r="A22" s="33"/>
      <c r="B22" s="5"/>
      <c r="C22" s="5"/>
      <c r="D22" s="5"/>
      <c r="E22" s="5"/>
      <c r="F22" s="5"/>
      <c r="G22" s="5"/>
      <c r="H22" s="5"/>
      <c r="I22" s="5"/>
      <c r="J22" s="5"/>
      <c r="K22" s="5"/>
      <c r="L22" s="5"/>
      <c r="M22" s="5"/>
      <c r="N22" s="34"/>
    </row>
    <row r="23" spans="1:14" s="10" customFormat="1" ht="15">
      <c r="A23" s="33"/>
      <c r="B23" s="5"/>
      <c r="C23" s="5"/>
      <c r="D23" s="5"/>
      <c r="E23" s="5"/>
      <c r="F23" s="5"/>
      <c r="G23" s="5"/>
      <c r="H23" s="5"/>
      <c r="I23" s="5"/>
      <c r="J23" s="5"/>
      <c r="K23" s="5"/>
      <c r="L23" s="5"/>
      <c r="M23" s="5"/>
      <c r="N23" s="34"/>
    </row>
    <row r="24" spans="1:14" s="10" customFormat="1" ht="15">
      <c r="A24" s="33"/>
      <c r="B24" s="5"/>
      <c r="C24" s="5"/>
      <c r="D24" s="5"/>
      <c r="E24" s="5"/>
      <c r="F24" s="5"/>
      <c r="G24" s="5"/>
      <c r="H24" s="5"/>
      <c r="I24" s="5"/>
      <c r="J24" s="5"/>
      <c r="K24" s="5"/>
      <c r="L24" s="5"/>
      <c r="M24" s="5"/>
      <c r="N24" s="34"/>
    </row>
    <row r="25" spans="1:14" s="10" customFormat="1" ht="15">
      <c r="A25" s="33"/>
      <c r="B25" s="5"/>
      <c r="C25" s="5"/>
      <c r="D25" s="5"/>
      <c r="E25" s="5"/>
      <c r="F25" s="5"/>
      <c r="G25" s="5"/>
      <c r="H25" s="5"/>
      <c r="I25" s="5"/>
      <c r="J25" s="5"/>
      <c r="K25" s="5"/>
      <c r="L25" s="5"/>
      <c r="M25" s="5"/>
      <c r="N25" s="34"/>
    </row>
    <row r="26" spans="1:14" s="10" customFormat="1" ht="15">
      <c r="A26" s="33"/>
      <c r="B26" s="5"/>
      <c r="C26" s="5"/>
      <c r="D26" s="5"/>
      <c r="E26" s="5"/>
      <c r="F26" s="5"/>
      <c r="G26" s="5"/>
      <c r="H26" s="5"/>
      <c r="I26" s="5"/>
      <c r="J26" s="5"/>
      <c r="K26" s="5"/>
      <c r="L26" s="5"/>
      <c r="M26" s="5"/>
      <c r="N26" s="34"/>
    </row>
    <row r="27" spans="1:14" s="10" customFormat="1" ht="15">
      <c r="A27" s="33"/>
      <c r="B27" s="5"/>
      <c r="C27" s="5"/>
      <c r="D27" s="5"/>
      <c r="E27" s="5"/>
      <c r="F27" s="5"/>
      <c r="G27" s="5"/>
      <c r="H27" s="5"/>
      <c r="I27" s="5"/>
      <c r="J27" s="5"/>
      <c r="K27" s="5"/>
      <c r="L27" s="5"/>
      <c r="M27" s="5"/>
      <c r="N27" s="34"/>
    </row>
    <row r="28" spans="1:14" s="10" customFormat="1" ht="15">
      <c r="A28" s="33"/>
      <c r="B28" s="5"/>
      <c r="C28" s="5"/>
      <c r="D28" s="5"/>
      <c r="E28" s="5"/>
      <c r="F28" s="5"/>
      <c r="G28" s="5"/>
      <c r="H28" s="5"/>
      <c r="I28" s="5"/>
      <c r="J28" s="5"/>
      <c r="K28" s="5"/>
      <c r="L28" s="5"/>
      <c r="M28" s="5"/>
      <c r="N28" s="34"/>
    </row>
    <row r="29" spans="1:14" s="10" customFormat="1" ht="15">
      <c r="A29" s="33"/>
      <c r="B29" s="5"/>
      <c r="C29" s="5"/>
      <c r="D29" s="5"/>
      <c r="E29" s="5"/>
      <c r="F29" s="5"/>
      <c r="G29" s="5"/>
      <c r="H29" s="5"/>
      <c r="I29" s="5"/>
      <c r="J29" s="5"/>
      <c r="K29" s="5"/>
      <c r="L29" s="5"/>
      <c r="M29" s="5"/>
      <c r="N29" s="34"/>
    </row>
    <row r="30" spans="1:14" s="10" customFormat="1" ht="15">
      <c r="A30" s="33"/>
      <c r="B30" s="5"/>
      <c r="C30" s="5"/>
      <c r="D30" s="5"/>
      <c r="E30" s="5"/>
      <c r="F30" s="5"/>
      <c r="G30" s="5"/>
      <c r="H30" s="5"/>
      <c r="I30" s="5"/>
      <c r="J30" s="5"/>
      <c r="K30" s="5"/>
      <c r="L30" s="5"/>
      <c r="M30" s="5"/>
      <c r="N30" s="34"/>
    </row>
    <row r="31" spans="1:14" s="10" customFormat="1" ht="15">
      <c r="A31" s="33"/>
      <c r="B31" s="5"/>
      <c r="C31" s="5"/>
      <c r="D31" s="5"/>
      <c r="E31" s="5"/>
      <c r="F31" s="5"/>
      <c r="G31" s="5"/>
      <c r="H31" s="5"/>
      <c r="I31" s="5"/>
      <c r="J31" s="5"/>
      <c r="K31" s="5"/>
      <c r="L31" s="5"/>
      <c r="M31" s="5"/>
      <c r="N31" s="34"/>
    </row>
    <row r="32" spans="1:14" s="10" customFormat="1" ht="15">
      <c r="A32" s="33"/>
      <c r="B32" s="5"/>
      <c r="C32" s="5"/>
      <c r="D32" s="5"/>
      <c r="E32" s="5"/>
      <c r="F32" s="5"/>
      <c r="G32" s="5"/>
      <c r="H32" s="5"/>
      <c r="I32" s="5"/>
      <c r="J32" s="5"/>
      <c r="K32" s="5"/>
      <c r="L32" s="5"/>
      <c r="M32" s="5"/>
      <c r="N32" s="34"/>
    </row>
    <row r="33" spans="1:14" s="10" customFormat="1" ht="15">
      <c r="A33" s="33"/>
      <c r="B33" s="5"/>
      <c r="C33" s="5"/>
      <c r="D33" s="5"/>
      <c r="E33" s="5"/>
      <c r="F33" s="5"/>
      <c r="G33" s="5"/>
      <c r="H33" s="5"/>
      <c r="I33" s="5"/>
      <c r="J33" s="5"/>
      <c r="K33" s="5"/>
      <c r="L33" s="5"/>
      <c r="M33" s="5"/>
      <c r="N33" s="34"/>
    </row>
    <row r="34" spans="1:14" s="10" customFormat="1" ht="15">
      <c r="A34" s="33"/>
      <c r="B34" s="5"/>
      <c r="C34" s="5"/>
      <c r="D34" s="5"/>
      <c r="E34" s="5"/>
      <c r="F34" s="5"/>
      <c r="G34" s="5"/>
      <c r="H34" s="5"/>
      <c r="I34" s="5"/>
      <c r="J34" s="5"/>
      <c r="K34" s="5"/>
      <c r="L34" s="5"/>
      <c r="M34" s="5"/>
      <c r="N34" s="34"/>
    </row>
    <row r="35" spans="1:14" s="10" customFormat="1" ht="15">
      <c r="A35" s="33"/>
      <c r="B35" s="5"/>
      <c r="C35" s="5"/>
      <c r="D35" s="5"/>
      <c r="E35" s="5"/>
      <c r="F35" s="5"/>
      <c r="G35" s="5"/>
      <c r="H35" s="5"/>
      <c r="I35" s="5"/>
      <c r="J35" s="5"/>
      <c r="K35" s="5"/>
      <c r="L35" s="5"/>
      <c r="M35" s="5"/>
      <c r="N35" s="34"/>
    </row>
    <row r="36" spans="1:14" s="10" customFormat="1" ht="15">
      <c r="A36" s="33"/>
      <c r="B36" s="5"/>
      <c r="C36" s="5"/>
      <c r="D36" s="5"/>
      <c r="E36" s="5"/>
      <c r="F36" s="5"/>
      <c r="G36" s="5"/>
      <c r="H36" s="5"/>
      <c r="I36" s="5"/>
      <c r="J36" s="5"/>
      <c r="K36" s="5"/>
      <c r="L36" s="5"/>
      <c r="M36" s="5"/>
      <c r="N36" s="34"/>
    </row>
    <row r="37" spans="1:14" s="10" customFormat="1" ht="15">
      <c r="A37" s="33"/>
      <c r="B37" s="5"/>
      <c r="C37" s="5"/>
      <c r="D37" s="5"/>
      <c r="E37" s="5"/>
      <c r="F37" s="5"/>
      <c r="G37" s="5"/>
      <c r="H37" s="5"/>
      <c r="I37" s="5"/>
      <c r="J37" s="5"/>
      <c r="K37" s="5"/>
      <c r="L37" s="5"/>
      <c r="M37" s="5"/>
      <c r="N37" s="34"/>
    </row>
    <row r="38" spans="1:14" s="10" customFormat="1" ht="15">
      <c r="A38" s="33"/>
      <c r="B38" s="5"/>
      <c r="C38" s="5"/>
      <c r="D38" s="5"/>
      <c r="E38" s="5"/>
      <c r="F38" s="5"/>
      <c r="G38" s="5"/>
      <c r="H38" s="5"/>
      <c r="I38" s="5"/>
      <c r="J38" s="5"/>
      <c r="K38" s="5"/>
      <c r="L38" s="5"/>
      <c r="M38" s="5"/>
      <c r="N38" s="34"/>
    </row>
    <row r="39" spans="1:14" s="10" customFormat="1" ht="15">
      <c r="A39" s="33"/>
      <c r="B39" s="5"/>
      <c r="C39" s="5"/>
      <c r="D39" s="5"/>
      <c r="E39" s="5"/>
      <c r="F39" s="5"/>
      <c r="G39" s="5"/>
      <c r="H39" s="5"/>
      <c r="I39" s="5"/>
      <c r="J39" s="5"/>
      <c r="K39" s="5"/>
      <c r="L39" s="5"/>
      <c r="M39" s="5"/>
      <c r="N39" s="34"/>
    </row>
    <row r="40" spans="1:14" s="10" customFormat="1" ht="15">
      <c r="A40" s="33"/>
      <c r="B40" s="5"/>
      <c r="C40" s="5"/>
      <c r="D40" s="5"/>
      <c r="E40" s="5"/>
      <c r="F40" s="5"/>
      <c r="G40" s="5"/>
      <c r="H40" s="5"/>
      <c r="I40" s="5"/>
      <c r="J40" s="5"/>
      <c r="K40" s="5"/>
      <c r="L40" s="5"/>
      <c r="M40" s="5"/>
      <c r="N40" s="34"/>
    </row>
    <row r="41" spans="1:14" s="10" customFormat="1" ht="15">
      <c r="A41" s="33"/>
      <c r="B41" s="5"/>
      <c r="C41" s="5"/>
      <c r="D41" s="5"/>
      <c r="E41" s="5"/>
      <c r="F41" s="5"/>
      <c r="G41" s="5"/>
      <c r="H41" s="5"/>
      <c r="I41" s="5"/>
      <c r="J41" s="5"/>
      <c r="K41" s="5"/>
      <c r="L41" s="5"/>
      <c r="M41" s="5"/>
      <c r="N41" s="34"/>
    </row>
    <row r="42" spans="1:14" s="10" customFormat="1" ht="15">
      <c r="A42" s="33"/>
      <c r="B42" s="5"/>
      <c r="C42" s="5"/>
      <c r="D42" s="5"/>
      <c r="E42" s="5"/>
      <c r="F42" s="5"/>
      <c r="G42" s="5"/>
      <c r="H42" s="5"/>
      <c r="I42" s="5"/>
      <c r="J42" s="5"/>
      <c r="K42" s="5"/>
      <c r="L42" s="5"/>
      <c r="M42" s="5"/>
      <c r="N42" s="34"/>
    </row>
    <row r="43" spans="1:14" s="10" customFormat="1" ht="15">
      <c r="A43" s="33"/>
      <c r="B43" s="5"/>
      <c r="C43" s="5"/>
      <c r="D43" s="5"/>
      <c r="E43" s="5"/>
      <c r="F43" s="5"/>
      <c r="G43" s="5"/>
      <c r="H43" s="5"/>
      <c r="I43" s="5"/>
      <c r="J43" s="5"/>
      <c r="K43" s="5"/>
      <c r="L43" s="5"/>
      <c r="M43" s="5"/>
      <c r="N43" s="34"/>
    </row>
    <row r="44" spans="1:14" s="10" customFormat="1" ht="15">
      <c r="A44" s="33"/>
      <c r="B44" s="5"/>
      <c r="C44" s="5"/>
      <c r="D44" s="5"/>
      <c r="E44" s="5"/>
      <c r="F44" s="5"/>
      <c r="G44" s="5"/>
      <c r="H44" s="5"/>
      <c r="I44" s="5"/>
      <c r="J44" s="5"/>
      <c r="K44" s="5"/>
      <c r="L44" s="5"/>
      <c r="M44" s="5"/>
      <c r="N44" s="34"/>
    </row>
    <row r="45" spans="1:14" s="10" customFormat="1" ht="15">
      <c r="A45" s="33"/>
      <c r="B45" s="5"/>
      <c r="C45" s="5"/>
      <c r="D45" s="5"/>
      <c r="E45" s="5"/>
      <c r="F45" s="5"/>
      <c r="G45" s="5"/>
      <c r="H45" s="5"/>
      <c r="I45" s="5"/>
      <c r="J45" s="5"/>
      <c r="K45" s="5"/>
      <c r="L45" s="5"/>
      <c r="M45" s="5"/>
      <c r="N45" s="34"/>
    </row>
    <row r="46" spans="1:14" s="1" customFormat="1" ht="15.75" thickBot="1">
      <c r="A46" s="35"/>
      <c r="N46" s="36"/>
    </row>
    <row r="47" spans="1:14" s="10" customFormat="1" ht="15">
      <c r="A47" s="33"/>
      <c r="B47" s="5"/>
      <c r="C47" s="5"/>
      <c r="D47" s="5"/>
      <c r="E47" s="5"/>
      <c r="F47" s="5"/>
      <c r="G47" s="5"/>
      <c r="H47" s="5"/>
      <c r="I47" s="5"/>
      <c r="J47" s="5"/>
      <c r="K47" s="5"/>
      <c r="L47" s="5"/>
      <c r="M47" s="5"/>
      <c r="N47" s="34"/>
    </row>
    <row r="48" spans="1:14" s="10" customFormat="1" ht="15">
      <c r="A48" s="33"/>
      <c r="B48" s="5"/>
      <c r="C48" s="5"/>
      <c r="D48" s="5"/>
      <c r="E48" s="5"/>
      <c r="F48" s="5"/>
      <c r="G48" s="5"/>
      <c r="H48" s="5"/>
      <c r="I48" s="5"/>
      <c r="J48" s="5"/>
      <c r="K48" s="5"/>
      <c r="L48" s="5"/>
      <c r="M48" s="5"/>
      <c r="N48" s="34"/>
    </row>
    <row r="49" spans="1:14" s="10" customFormat="1" ht="15">
      <c r="A49" s="33"/>
      <c r="B49" s="5"/>
      <c r="C49" s="5"/>
      <c r="D49" s="5"/>
      <c r="E49" s="5"/>
      <c r="F49" s="5"/>
      <c r="G49" s="5"/>
      <c r="H49" s="5"/>
      <c r="I49" s="5"/>
      <c r="J49" s="5"/>
      <c r="K49" s="5"/>
      <c r="L49" s="5"/>
      <c r="M49" s="5"/>
      <c r="N49" s="34"/>
    </row>
    <row r="50" spans="1:14" s="10" customFormat="1" ht="15">
      <c r="A50" s="33"/>
      <c r="B50" s="5"/>
      <c r="C50" s="5"/>
      <c r="D50" s="5"/>
      <c r="E50" s="5"/>
      <c r="F50" s="5"/>
      <c r="G50" s="5"/>
      <c r="H50" s="5"/>
      <c r="I50" s="5"/>
      <c r="J50" s="5"/>
      <c r="K50" s="5"/>
      <c r="L50" s="5"/>
      <c r="M50" s="5"/>
      <c r="N50" s="34"/>
    </row>
    <row r="51" spans="1:14" s="10" customFormat="1" ht="15">
      <c r="A51" s="33"/>
      <c r="B51" s="5"/>
      <c r="C51" s="5"/>
      <c r="D51" s="5"/>
      <c r="E51" s="5"/>
      <c r="F51" s="5"/>
      <c r="G51" s="5"/>
      <c r="H51" s="5"/>
      <c r="I51" s="5"/>
      <c r="J51" s="5"/>
      <c r="K51" s="5"/>
      <c r="L51" s="5"/>
      <c r="M51" s="5"/>
      <c r="N51" s="34"/>
    </row>
    <row r="52" spans="1:14" s="10" customFormat="1" ht="15">
      <c r="A52" s="33"/>
      <c r="B52" s="5"/>
      <c r="C52" s="5"/>
      <c r="D52" s="5"/>
      <c r="E52" s="5"/>
      <c r="F52" s="5"/>
      <c r="G52" s="5"/>
      <c r="H52" s="5"/>
      <c r="I52" s="5"/>
      <c r="J52" s="5"/>
      <c r="K52" s="5"/>
      <c r="L52" s="5"/>
      <c r="M52" s="5"/>
      <c r="N52" s="34"/>
    </row>
    <row r="53" spans="1:14" s="10" customFormat="1" ht="15">
      <c r="A53" s="33"/>
      <c r="B53" s="5"/>
      <c r="C53" s="5"/>
      <c r="D53" s="5"/>
      <c r="E53" s="5"/>
      <c r="F53" s="5"/>
      <c r="G53" s="5"/>
      <c r="H53" s="5"/>
      <c r="I53" s="5"/>
      <c r="J53" s="5"/>
      <c r="K53" s="5"/>
      <c r="L53" s="5"/>
      <c r="M53" s="5"/>
      <c r="N53" s="34"/>
    </row>
    <row r="54" spans="1:14" s="10" customFormat="1" ht="15">
      <c r="A54" s="33"/>
      <c r="B54" s="5"/>
      <c r="C54" s="5"/>
      <c r="D54" s="5"/>
      <c r="E54" s="5"/>
      <c r="F54" s="5"/>
      <c r="G54" s="5"/>
      <c r="H54" s="5"/>
      <c r="I54" s="5"/>
      <c r="J54" s="5"/>
      <c r="K54" s="5"/>
      <c r="L54" s="5"/>
      <c r="M54" s="5"/>
      <c r="N54" s="34"/>
    </row>
    <row r="55" spans="1:14" s="10" customFormat="1" ht="15">
      <c r="A55" s="33"/>
      <c r="B55" s="5"/>
      <c r="C55" s="5"/>
      <c r="D55" s="5"/>
      <c r="E55" s="5"/>
      <c r="F55" s="5"/>
      <c r="G55" s="5"/>
      <c r="H55" s="5"/>
      <c r="I55" s="5"/>
      <c r="J55" s="5"/>
      <c r="K55" s="5"/>
      <c r="L55" s="5"/>
      <c r="M55" s="5"/>
      <c r="N55" s="34"/>
    </row>
    <row r="56" spans="1:14" s="10" customFormat="1" ht="15">
      <c r="A56" s="33"/>
      <c r="B56" s="5"/>
      <c r="C56" s="5"/>
      <c r="D56" s="5"/>
      <c r="E56" s="5"/>
      <c r="F56" s="5"/>
      <c r="G56" s="5"/>
      <c r="H56" s="5"/>
      <c r="I56" s="5"/>
      <c r="J56" s="5"/>
      <c r="K56" s="5"/>
      <c r="L56" s="5"/>
      <c r="M56" s="5"/>
      <c r="N56" s="34"/>
    </row>
    <row r="57" spans="1:14" s="10" customFormat="1" ht="15">
      <c r="A57" s="33"/>
      <c r="B57" s="5"/>
      <c r="C57" s="5"/>
      <c r="D57" s="5"/>
      <c r="E57" s="5"/>
      <c r="F57" s="5"/>
      <c r="G57" s="5"/>
      <c r="H57" s="5"/>
      <c r="I57" s="5"/>
      <c r="J57" s="5"/>
      <c r="K57" s="5"/>
      <c r="L57" s="5"/>
      <c r="M57" s="5"/>
      <c r="N57" s="34"/>
    </row>
    <row r="58" spans="1:14" s="10" customFormat="1" ht="15">
      <c r="A58" s="33"/>
      <c r="B58" s="5"/>
      <c r="C58" s="5"/>
      <c r="D58" s="5"/>
      <c r="E58" s="5"/>
      <c r="F58" s="5"/>
      <c r="G58" s="5"/>
      <c r="H58" s="5"/>
      <c r="I58" s="5"/>
      <c r="J58" s="5"/>
      <c r="K58" s="5"/>
      <c r="L58" s="5"/>
      <c r="M58" s="5"/>
      <c r="N58" s="34"/>
    </row>
    <row r="59" spans="1:14" s="10" customFormat="1" ht="15">
      <c r="A59" s="33"/>
      <c r="B59" s="5"/>
      <c r="C59" s="5"/>
      <c r="D59" s="5"/>
      <c r="E59" s="5"/>
      <c r="F59" s="5"/>
      <c r="G59" s="5"/>
      <c r="H59" s="5"/>
      <c r="I59" s="5"/>
      <c r="J59" s="5"/>
      <c r="K59" s="5"/>
      <c r="L59" s="5"/>
      <c r="M59" s="5"/>
      <c r="N59" s="34"/>
    </row>
    <row r="60" spans="1:14" s="10" customFormat="1" ht="15">
      <c r="A60" s="33"/>
      <c r="B60" s="5"/>
      <c r="C60" s="5"/>
      <c r="D60" s="5"/>
      <c r="E60" s="5"/>
      <c r="F60" s="5"/>
      <c r="G60" s="5"/>
      <c r="H60" s="5"/>
      <c r="I60" s="5"/>
      <c r="J60" s="5"/>
      <c r="K60" s="5"/>
      <c r="L60" s="5"/>
      <c r="M60" s="5"/>
      <c r="N60" s="34"/>
    </row>
    <row r="61" spans="1:14" s="10" customFormat="1" ht="15">
      <c r="A61" s="33"/>
      <c r="B61" s="5"/>
      <c r="C61" s="5"/>
      <c r="D61" s="5"/>
      <c r="E61" s="5"/>
      <c r="F61" s="5"/>
      <c r="G61" s="5"/>
      <c r="H61" s="5"/>
      <c r="I61" s="5"/>
      <c r="J61" s="5"/>
      <c r="K61" s="5"/>
      <c r="L61" s="5"/>
      <c r="M61" s="5"/>
      <c r="N61" s="34"/>
    </row>
    <row r="62" spans="1:14" s="10" customFormat="1" ht="15">
      <c r="A62" s="33"/>
      <c r="B62" s="5"/>
      <c r="C62" s="5"/>
      <c r="D62" s="5"/>
      <c r="E62" s="5"/>
      <c r="F62" s="5"/>
      <c r="G62" s="5"/>
      <c r="H62" s="5"/>
      <c r="I62" s="5"/>
      <c r="J62" s="5"/>
      <c r="K62" s="5"/>
      <c r="L62" s="5"/>
      <c r="M62" s="5"/>
      <c r="N62" s="34"/>
    </row>
    <row r="63" spans="1:14" s="10" customFormat="1" ht="15">
      <c r="A63" s="33"/>
      <c r="B63" s="5"/>
      <c r="C63" s="5"/>
      <c r="D63" s="5"/>
      <c r="E63" s="5"/>
      <c r="F63" s="5"/>
      <c r="G63" s="5"/>
      <c r="H63" s="5"/>
      <c r="I63" s="5"/>
      <c r="J63" s="5"/>
      <c r="K63" s="5"/>
      <c r="L63" s="5"/>
      <c r="M63" s="5"/>
      <c r="N63" s="34"/>
    </row>
    <row r="64" spans="1:14" s="10" customFormat="1" ht="15">
      <c r="A64" s="33"/>
      <c r="B64" s="5"/>
      <c r="C64" s="5"/>
      <c r="D64" s="5"/>
      <c r="E64" s="5"/>
      <c r="F64" s="5"/>
      <c r="G64" s="5"/>
      <c r="H64" s="5"/>
      <c r="I64" s="5"/>
      <c r="J64" s="5"/>
      <c r="K64" s="5"/>
      <c r="L64" s="5"/>
      <c r="M64" s="5"/>
      <c r="N64" s="34"/>
    </row>
    <row r="65" spans="1:14" s="10" customFormat="1" ht="15">
      <c r="A65" s="33"/>
      <c r="B65" s="5"/>
      <c r="C65" s="5"/>
      <c r="D65" s="5"/>
      <c r="E65" s="5"/>
      <c r="F65" s="5"/>
      <c r="G65" s="5"/>
      <c r="H65" s="5"/>
      <c r="I65" s="5"/>
      <c r="J65" s="5"/>
      <c r="K65" s="5"/>
      <c r="L65" s="5"/>
      <c r="M65" s="5"/>
      <c r="N65" s="34"/>
    </row>
    <row r="66" spans="1:14" s="10" customFormat="1" ht="15">
      <c r="A66" s="33"/>
      <c r="B66" s="5"/>
      <c r="C66" s="5"/>
      <c r="D66" s="5"/>
      <c r="E66" s="5"/>
      <c r="F66" s="5"/>
      <c r="G66" s="5"/>
      <c r="H66" s="5"/>
      <c r="I66" s="5"/>
      <c r="J66" s="5"/>
      <c r="K66" s="5"/>
      <c r="L66" s="5"/>
      <c r="M66" s="5"/>
      <c r="N66" s="34"/>
    </row>
    <row r="67" spans="1:14" s="10" customFormat="1" ht="15">
      <c r="A67" s="33"/>
      <c r="B67" s="5"/>
      <c r="C67" s="5"/>
      <c r="D67" s="5"/>
      <c r="E67" s="5"/>
      <c r="F67" s="5"/>
      <c r="G67" s="5"/>
      <c r="H67" s="5"/>
      <c r="I67" s="5"/>
      <c r="J67" s="5"/>
      <c r="K67" s="5"/>
      <c r="L67" s="5"/>
      <c r="M67" s="5"/>
      <c r="N67" s="34"/>
    </row>
    <row r="68" spans="1:14" s="10" customFormat="1" ht="15">
      <c r="A68" s="33"/>
      <c r="B68" s="5"/>
      <c r="C68" s="5"/>
      <c r="D68" s="5"/>
      <c r="E68" s="5"/>
      <c r="F68" s="5"/>
      <c r="G68" s="5"/>
      <c r="H68" s="5"/>
      <c r="I68" s="5"/>
      <c r="J68" s="5"/>
      <c r="K68" s="5"/>
      <c r="L68" s="5"/>
      <c r="M68" s="5"/>
      <c r="N68" s="34"/>
    </row>
    <row r="69" spans="1:14" s="10" customFormat="1" ht="15">
      <c r="A69" s="33"/>
      <c r="B69" s="5"/>
      <c r="C69" s="5"/>
      <c r="D69" s="5"/>
      <c r="E69" s="5"/>
      <c r="F69" s="5"/>
      <c r="G69" s="5"/>
      <c r="H69" s="5"/>
      <c r="I69" s="5"/>
      <c r="J69" s="5"/>
      <c r="K69" s="5"/>
      <c r="L69" s="5"/>
      <c r="M69" s="5"/>
      <c r="N69" s="34"/>
    </row>
    <row r="70" spans="1:14" s="10" customFormat="1" ht="15">
      <c r="A70" s="33"/>
      <c r="B70" s="5"/>
      <c r="C70" s="5"/>
      <c r="D70" s="5"/>
      <c r="E70" s="5"/>
      <c r="F70" s="5"/>
      <c r="G70" s="5"/>
      <c r="H70" s="5"/>
      <c r="I70" s="5"/>
      <c r="J70" s="5"/>
      <c r="K70" s="5"/>
      <c r="L70" s="5"/>
      <c r="M70" s="5"/>
      <c r="N70" s="34"/>
    </row>
    <row r="71" spans="1:14" s="10" customFormat="1" ht="15">
      <c r="A71" s="33"/>
      <c r="B71" s="5"/>
      <c r="C71" s="5"/>
      <c r="D71" s="5"/>
      <c r="E71" s="5"/>
      <c r="F71" s="5"/>
      <c r="G71" s="5"/>
      <c r="H71" s="5"/>
      <c r="I71" s="5"/>
      <c r="J71" s="5"/>
      <c r="K71" s="5"/>
      <c r="L71" s="5"/>
      <c r="M71" s="5"/>
      <c r="N71" s="34"/>
    </row>
    <row r="72" spans="1:14" s="10" customFormat="1" ht="15">
      <c r="A72" s="33"/>
      <c r="B72" s="5"/>
      <c r="C72" s="5"/>
      <c r="D72" s="5"/>
      <c r="E72" s="5"/>
      <c r="F72" s="5"/>
      <c r="G72" s="5"/>
      <c r="H72" s="5"/>
      <c r="I72" s="5"/>
      <c r="J72" s="5"/>
      <c r="K72" s="5"/>
      <c r="L72" s="5"/>
      <c r="M72" s="5"/>
      <c r="N72" s="34"/>
    </row>
    <row r="73" spans="1:14" s="10" customFormat="1" ht="15">
      <c r="A73" s="33"/>
      <c r="B73" s="5"/>
      <c r="C73" s="5"/>
      <c r="D73" s="5"/>
      <c r="E73" s="5"/>
      <c r="F73" s="5"/>
      <c r="G73" s="5"/>
      <c r="H73" s="5"/>
      <c r="I73" s="5"/>
      <c r="J73" s="5"/>
      <c r="K73" s="5"/>
      <c r="L73" s="5"/>
      <c r="M73" s="5"/>
      <c r="N73" s="34"/>
    </row>
    <row r="74" spans="1:14" s="10" customFormat="1" ht="15">
      <c r="A74" s="33"/>
      <c r="B74" s="5"/>
      <c r="C74" s="5"/>
      <c r="D74" s="5"/>
      <c r="E74" s="5"/>
      <c r="F74" s="5"/>
      <c r="G74" s="5"/>
      <c r="H74" s="5"/>
      <c r="I74" s="5"/>
      <c r="J74" s="5"/>
      <c r="K74" s="5"/>
      <c r="L74" s="5"/>
      <c r="M74" s="5"/>
      <c r="N74" s="34"/>
    </row>
    <row r="75" spans="1:14" s="10" customFormat="1" ht="15">
      <c r="A75" s="33"/>
      <c r="B75" s="5"/>
      <c r="C75" s="5"/>
      <c r="D75" s="5"/>
      <c r="E75" s="5"/>
      <c r="F75" s="5"/>
      <c r="G75" s="5"/>
      <c r="H75" s="5"/>
      <c r="I75" s="5"/>
      <c r="J75" s="5"/>
      <c r="K75" s="5"/>
      <c r="L75" s="5"/>
      <c r="M75" s="5"/>
      <c r="N75" s="34"/>
    </row>
    <row r="76" spans="1:14" s="10" customFormat="1" ht="15">
      <c r="A76" s="33"/>
      <c r="B76" s="5"/>
      <c r="C76" s="5"/>
      <c r="D76" s="5"/>
      <c r="E76" s="5"/>
      <c r="F76" s="5"/>
      <c r="G76" s="5"/>
      <c r="H76" s="5"/>
      <c r="I76" s="5"/>
      <c r="J76" s="5"/>
      <c r="K76" s="5"/>
      <c r="L76" s="5"/>
      <c r="M76" s="5"/>
      <c r="N76" s="34"/>
    </row>
    <row r="77" spans="1:14" s="10" customFormat="1" ht="15">
      <c r="A77" s="33"/>
      <c r="B77" s="5"/>
      <c r="C77" s="5"/>
      <c r="D77" s="5"/>
      <c r="E77" s="5"/>
      <c r="F77" s="5"/>
      <c r="G77" s="5"/>
      <c r="H77" s="5"/>
      <c r="I77" s="5"/>
      <c r="J77" s="5"/>
      <c r="K77" s="5"/>
      <c r="L77" s="5"/>
      <c r="M77" s="5"/>
      <c r="N77" s="34"/>
    </row>
    <row r="78" spans="1:14" s="1" customFormat="1" ht="15.75" thickBot="1">
      <c r="A78" s="35"/>
      <c r="N78" s="36"/>
    </row>
    <row r="79" spans="1:14" s="10" customFormat="1" ht="15">
      <c r="A79" s="33"/>
      <c r="B79" s="5"/>
      <c r="C79" s="5"/>
      <c r="D79" s="5"/>
      <c r="E79" s="5"/>
      <c r="F79" s="5"/>
      <c r="G79" s="5"/>
      <c r="H79" s="5"/>
      <c r="I79" s="5"/>
      <c r="J79" s="5"/>
      <c r="K79" s="5"/>
      <c r="L79" s="5"/>
      <c r="M79" s="5"/>
      <c r="N79" s="34"/>
    </row>
    <row r="80" spans="1:14" s="10" customFormat="1" ht="15">
      <c r="A80" s="33"/>
      <c r="B80" s="5"/>
      <c r="C80" s="5"/>
      <c r="D80" s="5"/>
      <c r="E80" s="5"/>
      <c r="F80" s="5"/>
      <c r="G80" s="5"/>
      <c r="H80" s="5"/>
      <c r="I80" s="5"/>
      <c r="J80" s="5"/>
      <c r="K80" s="5"/>
      <c r="L80" s="5"/>
      <c r="M80" s="5"/>
      <c r="N80" s="34"/>
    </row>
    <row r="81" spans="1:14" s="10" customFormat="1" ht="15">
      <c r="A81" s="33"/>
      <c r="B81" s="5"/>
      <c r="C81" s="5"/>
      <c r="D81" s="5"/>
      <c r="E81" s="5"/>
      <c r="F81" s="5"/>
      <c r="G81" s="5"/>
      <c r="H81" s="5"/>
      <c r="I81" s="5"/>
      <c r="J81" s="5"/>
      <c r="K81" s="5"/>
      <c r="L81" s="5"/>
      <c r="M81" s="5"/>
      <c r="N81" s="34"/>
    </row>
    <row r="82" spans="1:14" s="10" customFormat="1" ht="15">
      <c r="A82" s="33"/>
      <c r="B82" s="5"/>
      <c r="C82" s="5"/>
      <c r="D82" s="5"/>
      <c r="E82" s="5"/>
      <c r="F82" s="5"/>
      <c r="G82" s="5"/>
      <c r="H82" s="5"/>
      <c r="I82" s="5"/>
      <c r="J82" s="5"/>
      <c r="K82" s="5"/>
      <c r="L82" s="5"/>
      <c r="M82" s="5"/>
      <c r="N82" s="34"/>
    </row>
    <row r="83" spans="1:14" s="10" customFormat="1" ht="15">
      <c r="A83" s="33"/>
      <c r="B83" s="5"/>
      <c r="C83" s="5"/>
      <c r="D83" s="5"/>
      <c r="E83" s="5"/>
      <c r="F83" s="5"/>
      <c r="G83" s="5"/>
      <c r="H83" s="5"/>
      <c r="I83" s="5"/>
      <c r="J83" s="5"/>
      <c r="K83" s="5"/>
      <c r="L83" s="5"/>
      <c r="M83" s="5"/>
      <c r="N83" s="34"/>
    </row>
    <row r="84" spans="1:14" s="10" customFormat="1" ht="15">
      <c r="A84" s="33"/>
      <c r="B84" s="5"/>
      <c r="C84" s="5"/>
      <c r="D84" s="5"/>
      <c r="E84" s="5"/>
      <c r="F84" s="5"/>
      <c r="G84" s="5"/>
      <c r="H84" s="5"/>
      <c r="I84" s="5"/>
      <c r="J84" s="5"/>
      <c r="K84" s="5"/>
      <c r="L84" s="5"/>
      <c r="M84" s="5"/>
      <c r="N84" s="34"/>
    </row>
    <row r="85" spans="1:14" s="10" customFormat="1" ht="15">
      <c r="A85" s="33"/>
      <c r="B85" s="5"/>
      <c r="C85" s="5"/>
      <c r="D85" s="5"/>
      <c r="E85" s="5"/>
      <c r="F85" s="5"/>
      <c r="G85" s="5"/>
      <c r="H85" s="5"/>
      <c r="I85" s="5"/>
      <c r="J85" s="5"/>
      <c r="K85" s="5"/>
      <c r="L85" s="5"/>
      <c r="M85" s="5"/>
      <c r="N85" s="34"/>
    </row>
    <row r="86" spans="1:14" s="10" customFormat="1" ht="15">
      <c r="A86" s="33"/>
      <c r="B86" s="5"/>
      <c r="C86" s="5"/>
      <c r="D86" s="5"/>
      <c r="E86" s="5"/>
      <c r="F86" s="5"/>
      <c r="G86" s="5"/>
      <c r="H86" s="5"/>
      <c r="I86" s="5"/>
      <c r="J86" s="5"/>
      <c r="K86" s="5"/>
      <c r="L86" s="5"/>
      <c r="M86" s="5"/>
      <c r="N86" s="34"/>
    </row>
    <row r="87" spans="1:14" s="10" customFormat="1" ht="15">
      <c r="A87" s="33"/>
      <c r="B87" s="5"/>
      <c r="C87" s="5"/>
      <c r="D87" s="5"/>
      <c r="E87" s="5"/>
      <c r="F87" s="5"/>
      <c r="G87" s="5"/>
      <c r="H87" s="5"/>
      <c r="I87" s="5"/>
      <c r="J87" s="5"/>
      <c r="K87" s="5"/>
      <c r="L87" s="5"/>
      <c r="M87" s="5"/>
      <c r="N87" s="34"/>
    </row>
    <row r="88" spans="1:14" s="10" customFormat="1" ht="15">
      <c r="A88" s="33"/>
      <c r="B88" s="5"/>
      <c r="C88" s="5"/>
      <c r="D88" s="5"/>
      <c r="E88" s="5"/>
      <c r="F88" s="5"/>
      <c r="G88" s="5"/>
      <c r="H88" s="5"/>
      <c r="I88" s="5"/>
      <c r="J88" s="5"/>
      <c r="K88" s="5"/>
      <c r="L88" s="5"/>
      <c r="M88" s="5"/>
      <c r="N88" s="34"/>
    </row>
    <row r="89" spans="1:14" s="10" customFormat="1" ht="15">
      <c r="A89" s="33"/>
      <c r="B89" s="5"/>
      <c r="C89" s="5"/>
      <c r="D89" s="5"/>
      <c r="E89" s="5"/>
      <c r="F89" s="5"/>
      <c r="G89" s="5"/>
      <c r="H89" s="5"/>
      <c r="I89" s="5"/>
      <c r="J89" s="5"/>
      <c r="K89" s="5"/>
      <c r="L89" s="5"/>
      <c r="M89" s="5"/>
      <c r="N89" s="34"/>
    </row>
    <row r="90" spans="1:14" s="10" customFormat="1" ht="15">
      <c r="A90" s="33"/>
      <c r="B90" s="5"/>
      <c r="C90" s="5"/>
      <c r="D90" s="5"/>
      <c r="E90" s="5"/>
      <c r="F90" s="5"/>
      <c r="G90" s="5"/>
      <c r="H90" s="5"/>
      <c r="I90" s="5"/>
      <c r="J90" s="5"/>
      <c r="K90" s="5"/>
      <c r="L90" s="5"/>
      <c r="M90" s="5"/>
      <c r="N90" s="34"/>
    </row>
    <row r="91" spans="1:14" s="10" customFormat="1" ht="15">
      <c r="A91" s="33"/>
      <c r="B91" s="5"/>
      <c r="C91" s="5"/>
      <c r="D91" s="5"/>
      <c r="E91" s="5"/>
      <c r="F91" s="5"/>
      <c r="G91" s="5"/>
      <c r="H91" s="5"/>
      <c r="I91" s="5"/>
      <c r="J91" s="5"/>
      <c r="K91" s="5"/>
      <c r="L91" s="5"/>
      <c r="M91" s="5"/>
      <c r="N91" s="34"/>
    </row>
    <row r="92" spans="1:14" s="10" customFormat="1" ht="15">
      <c r="A92" s="33"/>
      <c r="B92" s="5"/>
      <c r="C92" s="5"/>
      <c r="D92" s="5"/>
      <c r="E92" s="5"/>
      <c r="F92" s="5"/>
      <c r="G92" s="5"/>
      <c r="H92" s="5"/>
      <c r="I92" s="5"/>
      <c r="J92" s="5"/>
      <c r="K92" s="5"/>
      <c r="L92" s="5"/>
      <c r="M92" s="5"/>
      <c r="N92" s="34"/>
    </row>
    <row r="93" spans="1:14" s="10" customFormat="1" ht="15">
      <c r="A93" s="33"/>
      <c r="B93" s="5"/>
      <c r="C93" s="5"/>
      <c r="D93" s="5"/>
      <c r="E93" s="5"/>
      <c r="F93" s="5"/>
      <c r="G93" s="5"/>
      <c r="H93" s="5"/>
      <c r="I93" s="5"/>
      <c r="J93" s="5"/>
      <c r="K93" s="5"/>
      <c r="L93" s="5"/>
      <c r="M93" s="5"/>
      <c r="N93" s="34"/>
    </row>
    <row r="94" spans="1:14" s="10" customFormat="1" ht="15">
      <c r="A94" s="37"/>
      <c r="B94" s="4"/>
      <c r="C94" s="4"/>
      <c r="D94" s="4"/>
      <c r="E94" s="4"/>
      <c r="F94" s="4"/>
      <c r="G94" s="4"/>
      <c r="H94" s="4"/>
      <c r="I94" s="4"/>
      <c r="J94" s="4"/>
      <c r="K94" s="4"/>
      <c r="L94" s="4"/>
      <c r="M94" s="4"/>
      <c r="N94" s="38"/>
    </row>
  </sheetData>
  <sheetProtection/>
  <mergeCells count="3">
    <mergeCell ref="B5:N5"/>
    <mergeCell ref="B10:N10"/>
    <mergeCell ref="B4:N4"/>
  </mergeCells>
  <printOptions horizontalCentered="1" verticalCentered="1"/>
  <pageMargins left="0.45" right="0.45" top="0.5" bottom="0.5" header="0.05" footer="0.05"/>
  <pageSetup fitToHeight="1" fitToWidth="1" horizontalDpi="600" verticalDpi="600" orientation="portrait" paperSize="9" scale="50" r:id="rId4"/>
  <drawing r:id="rId3"/>
  <legacyDrawing r:id="rId2"/>
</worksheet>
</file>

<file path=xl/worksheets/sheet4.xml><?xml version="1.0" encoding="utf-8"?>
<worksheet xmlns="http://schemas.openxmlformats.org/spreadsheetml/2006/main" xmlns:r="http://schemas.openxmlformats.org/officeDocument/2006/relationships">
  <sheetPr>
    <tabColor rgb="FFFFFF00"/>
  </sheetPr>
  <dimension ref="A1:D183"/>
  <sheetViews>
    <sheetView zoomScalePageLayoutView="0" workbookViewId="0" topLeftCell="A1">
      <selection activeCell="A1" sqref="A1"/>
    </sheetView>
  </sheetViews>
  <sheetFormatPr defaultColWidth="9.140625" defaultRowHeight="15"/>
  <cols>
    <col min="1" max="1" width="15.7109375" style="0" bestFit="1" customWidth="1"/>
    <col min="2" max="2" width="14.28125" style="0" bestFit="1" customWidth="1"/>
  </cols>
  <sheetData>
    <row r="1" spans="1:2" ht="15">
      <c r="A1" s="3" t="s">
        <v>85</v>
      </c>
      <c r="B1" s="3" t="str">
        <f>Questions!C4</f>
        <v>lbs</v>
      </c>
    </row>
    <row r="2" spans="1:2" ht="15">
      <c r="A2" s="3" t="s">
        <v>86</v>
      </c>
      <c r="B2" s="3">
        <f>Questions!C5</f>
        <v>300</v>
      </c>
    </row>
    <row r="3" spans="1:2" ht="15">
      <c r="A3" s="3" t="s">
        <v>87</v>
      </c>
      <c r="B3" s="3">
        <f>BarWeight</f>
        <v>45</v>
      </c>
    </row>
    <row r="4" spans="1:2" ht="15">
      <c r="A4" s="3" t="s">
        <v>88</v>
      </c>
      <c r="B4" s="3" t="str">
        <f>WeightFormat</f>
        <v>Yes</v>
      </c>
    </row>
    <row r="5" spans="1:2" ht="15">
      <c r="A5" s="3" t="s">
        <v>89</v>
      </c>
      <c r="B5" s="3">
        <f>Rounding</f>
        <v>5</v>
      </c>
    </row>
    <row r="6" spans="1:2" ht="15">
      <c r="A6" s="3" t="s">
        <v>90</v>
      </c>
      <c r="B6" s="3">
        <f>BBBPercentage</f>
        <v>0.5</v>
      </c>
    </row>
    <row r="7" spans="1:2" ht="15">
      <c r="A7" s="3" t="s">
        <v>91</v>
      </c>
      <c r="B7" s="202">
        <f>Questions!C14</f>
        <v>40553</v>
      </c>
    </row>
    <row r="8" spans="1:2" ht="15">
      <c r="A8" s="3" t="s">
        <v>92</v>
      </c>
      <c r="B8" s="3" t="str">
        <f>ExOne</f>
        <v>Squat</v>
      </c>
    </row>
    <row r="9" spans="1:2" ht="15">
      <c r="A9" s="3" t="s">
        <v>108</v>
      </c>
      <c r="B9" s="3" t="str">
        <f>Questions!E15</f>
        <v>Mon</v>
      </c>
    </row>
    <row r="10" spans="1:2" ht="15">
      <c r="A10" s="3" t="s">
        <v>96</v>
      </c>
      <c r="B10" s="3">
        <f>Questions!C21</f>
        <v>1000</v>
      </c>
    </row>
    <row r="11" spans="1:2" ht="15">
      <c r="A11" s="3" t="s">
        <v>100</v>
      </c>
      <c r="B11" s="3">
        <f>Questions!F21</f>
        <v>3</v>
      </c>
    </row>
    <row r="12" spans="1:2" ht="15">
      <c r="A12" s="3" t="s">
        <v>104</v>
      </c>
      <c r="B12" s="3">
        <f>IncrOne</f>
        <v>10</v>
      </c>
    </row>
    <row r="13" spans="1:2" ht="15">
      <c r="A13" s="3" t="s">
        <v>93</v>
      </c>
      <c r="B13" s="3" t="str">
        <f>ExTwo</f>
        <v>Bench Press</v>
      </c>
    </row>
    <row r="14" spans="1:2" ht="15">
      <c r="A14" s="3" t="s">
        <v>109</v>
      </c>
      <c r="B14" s="3" t="str">
        <f>Questions!E16</f>
        <v>Wed</v>
      </c>
    </row>
    <row r="15" spans="1:2" ht="15">
      <c r="A15" s="3" t="s">
        <v>97</v>
      </c>
      <c r="B15" s="3">
        <f>Questions!C22</f>
        <v>500</v>
      </c>
    </row>
    <row r="16" spans="1:2" ht="15">
      <c r="A16" s="3" t="s">
        <v>101</v>
      </c>
      <c r="B16" s="3">
        <f>Questions!F22</f>
        <v>3</v>
      </c>
    </row>
    <row r="17" spans="1:2" ht="15">
      <c r="A17" s="3" t="s">
        <v>105</v>
      </c>
      <c r="B17" s="3">
        <f>IncrTwo</f>
        <v>5</v>
      </c>
    </row>
    <row r="18" spans="1:2" ht="15">
      <c r="A18" s="3" t="s">
        <v>94</v>
      </c>
      <c r="B18" s="3" t="str">
        <f>ExThree</f>
        <v>Deadlift</v>
      </c>
    </row>
    <row r="19" spans="1:2" ht="15">
      <c r="A19" s="3" t="s">
        <v>110</v>
      </c>
      <c r="B19" s="3" t="str">
        <f>Questions!E17</f>
        <v>Thu</v>
      </c>
    </row>
    <row r="20" spans="1:2" ht="15">
      <c r="A20" s="3" t="s">
        <v>98</v>
      </c>
      <c r="B20" s="3">
        <f>Questions!C23</f>
        <v>800</v>
      </c>
    </row>
    <row r="21" spans="1:2" ht="15">
      <c r="A21" s="3" t="s">
        <v>102</v>
      </c>
      <c r="B21" s="3">
        <f>Questions!F23</f>
        <v>3</v>
      </c>
    </row>
    <row r="22" spans="1:2" ht="15">
      <c r="A22" s="3" t="s">
        <v>106</v>
      </c>
      <c r="B22" s="3">
        <f>IncrThree</f>
        <v>10</v>
      </c>
    </row>
    <row r="23" spans="1:2" ht="15">
      <c r="A23" s="3" t="s">
        <v>95</v>
      </c>
      <c r="B23" s="3" t="str">
        <f>ExFour</f>
        <v>Shoulder Press</v>
      </c>
    </row>
    <row r="24" spans="1:2" ht="15">
      <c r="A24" s="3" t="s">
        <v>111</v>
      </c>
      <c r="B24" s="3" t="str">
        <f>Questions!E18</f>
        <v>Fri</v>
      </c>
    </row>
    <row r="25" spans="1:2" ht="15">
      <c r="A25" s="3" t="s">
        <v>99</v>
      </c>
      <c r="B25" s="3">
        <f>Questions!C24</f>
        <v>400</v>
      </c>
    </row>
    <row r="26" spans="1:2" ht="15">
      <c r="A26" s="3" t="s">
        <v>103</v>
      </c>
      <c r="B26" s="3">
        <f>Questions!F24</f>
        <v>3</v>
      </c>
    </row>
    <row r="27" spans="1:2" ht="15">
      <c r="A27" s="3" t="s">
        <v>107</v>
      </c>
      <c r="B27" s="3">
        <f>IncrFour</f>
        <v>5</v>
      </c>
    </row>
    <row r="28" spans="1:2" ht="15">
      <c r="A28" s="3" t="s">
        <v>112</v>
      </c>
      <c r="B28" s="3">
        <f>'Wendler''s 5-3-1'!B13</f>
        <v>10</v>
      </c>
    </row>
    <row r="29" spans="1:2" ht="15">
      <c r="A29" s="3" t="s">
        <v>113</v>
      </c>
      <c r="B29" s="3">
        <f>'Wendler''s 5-3-1'!C13</f>
        <v>0</v>
      </c>
    </row>
    <row r="30" spans="1:2" ht="15">
      <c r="A30" s="3" t="s">
        <v>114</v>
      </c>
      <c r="B30" s="3">
        <f>'Wendler''s 5-3-1'!D13</f>
        <v>0</v>
      </c>
    </row>
    <row r="31" spans="1:4" ht="15">
      <c r="A31" s="3" t="s">
        <v>115</v>
      </c>
      <c r="B31" s="3">
        <f>'Wendler''s 5-3-1'!B40</f>
        <v>0</v>
      </c>
      <c r="D31" s="201"/>
    </row>
    <row r="32" spans="1:2" ht="15">
      <c r="A32" s="3" t="s">
        <v>116</v>
      </c>
      <c r="B32" s="3">
        <f>'Wendler''s 5-3-1'!C40</f>
        <v>0</v>
      </c>
    </row>
    <row r="33" spans="1:2" ht="15">
      <c r="A33" s="3" t="s">
        <v>118</v>
      </c>
      <c r="B33" s="3">
        <f>'Wendler''s 5-3-1'!D40</f>
        <v>0</v>
      </c>
    </row>
    <row r="34" spans="1:2" ht="15">
      <c r="A34" s="3" t="s">
        <v>119</v>
      </c>
      <c r="B34" s="3">
        <f>'Wendler''s 5-3-1'!B67</f>
        <v>0</v>
      </c>
    </row>
    <row r="35" spans="1:2" ht="15">
      <c r="A35" s="3" t="s">
        <v>120</v>
      </c>
      <c r="B35" s="3">
        <f>'Wendler''s 5-3-1'!C67</f>
        <v>0</v>
      </c>
    </row>
    <row r="36" spans="1:2" ht="15">
      <c r="A36" s="3" t="s">
        <v>117</v>
      </c>
      <c r="B36" s="3">
        <f>'Wendler''s 5-3-1'!D67</f>
        <v>0</v>
      </c>
    </row>
    <row r="37" spans="1:2" ht="15">
      <c r="A37" s="3" t="s">
        <v>121</v>
      </c>
      <c r="B37" s="3">
        <f>'Wendler''s 5-3-1'!B94</f>
        <v>0</v>
      </c>
    </row>
    <row r="38" spans="1:2" ht="15">
      <c r="A38" s="3" t="s">
        <v>122</v>
      </c>
      <c r="B38" s="3">
        <f>'Wendler''s 5-3-1'!C94</f>
        <v>0</v>
      </c>
    </row>
    <row r="39" spans="1:2" ht="15">
      <c r="A39" s="3" t="s">
        <v>123</v>
      </c>
      <c r="B39" s="3">
        <f>'Wendler''s 5-3-1'!D94</f>
        <v>0</v>
      </c>
    </row>
    <row r="40" spans="1:2" ht="15">
      <c r="A40" s="3" t="s">
        <v>124</v>
      </c>
      <c r="B40" s="3">
        <f>'Wendler''s 5-3-1'!B121</f>
        <v>0</v>
      </c>
    </row>
    <row r="41" spans="1:2" ht="15">
      <c r="A41" s="3" t="s">
        <v>125</v>
      </c>
      <c r="B41" s="3">
        <f>'Wendler''s 5-3-1'!C121</f>
        <v>0</v>
      </c>
    </row>
    <row r="42" spans="1:2" ht="15">
      <c r="A42" s="3" t="s">
        <v>126</v>
      </c>
      <c r="B42" s="3">
        <f>'Wendler''s 5-3-1'!D121</f>
        <v>0</v>
      </c>
    </row>
    <row r="43" spans="1:2" ht="15">
      <c r="A43" s="3" t="s">
        <v>127</v>
      </c>
      <c r="B43" s="3">
        <f>'Wendler''s 5-3-1'!B148</f>
        <v>0</v>
      </c>
    </row>
    <row r="44" spans="1:2" ht="15">
      <c r="A44" s="3" t="s">
        <v>128</v>
      </c>
      <c r="B44" s="3">
        <f>'Wendler''s 5-3-1'!C148</f>
        <v>0</v>
      </c>
    </row>
    <row r="45" spans="1:2" ht="15">
      <c r="A45" s="3" t="s">
        <v>129</v>
      </c>
      <c r="B45" s="3">
        <f>'Wendler''s 5-3-1'!D148</f>
        <v>0</v>
      </c>
    </row>
    <row r="46" spans="1:2" ht="15">
      <c r="A46" s="3" t="s">
        <v>130</v>
      </c>
      <c r="B46" s="3">
        <f>'Wendler''s 5-3-1'!B175</f>
        <v>0</v>
      </c>
    </row>
    <row r="47" spans="1:2" ht="15">
      <c r="A47" s="3" t="s">
        <v>131</v>
      </c>
      <c r="B47" s="3">
        <f>'Wendler''s 5-3-1'!C175</f>
        <v>0</v>
      </c>
    </row>
    <row r="48" spans="1:2" ht="15">
      <c r="A48" s="3" t="s">
        <v>132</v>
      </c>
      <c r="B48" s="3">
        <f>'Wendler''s 5-3-1'!D175</f>
        <v>0</v>
      </c>
    </row>
    <row r="49" spans="1:2" ht="15">
      <c r="A49" s="3" t="s">
        <v>133</v>
      </c>
      <c r="B49" s="3">
        <f>'Wendler''s 5-3-1'!B202</f>
        <v>0</v>
      </c>
    </row>
    <row r="50" spans="1:2" ht="15">
      <c r="A50" s="3" t="s">
        <v>134</v>
      </c>
      <c r="B50" s="3">
        <f>'Wendler''s 5-3-1'!C202</f>
        <v>0</v>
      </c>
    </row>
    <row r="51" spans="1:2" ht="15">
      <c r="A51" s="3" t="s">
        <v>135</v>
      </c>
      <c r="B51" s="3">
        <f>'Wendler''s 5-3-1'!D202</f>
        <v>0</v>
      </c>
    </row>
    <row r="52" spans="1:2" ht="15">
      <c r="A52" s="3" t="s">
        <v>136</v>
      </c>
      <c r="B52" s="3">
        <f>'Wendler''s 5-3-1'!B229</f>
        <v>0</v>
      </c>
    </row>
    <row r="53" spans="1:2" ht="15">
      <c r="A53" s="3" t="s">
        <v>137</v>
      </c>
      <c r="B53" s="3">
        <f>'Wendler''s 5-3-1'!C229</f>
        <v>0</v>
      </c>
    </row>
    <row r="54" spans="1:2" ht="15">
      <c r="A54" s="3" t="s">
        <v>138</v>
      </c>
      <c r="B54" s="3">
        <f>'Wendler''s 5-3-1'!D229</f>
        <v>0</v>
      </c>
    </row>
    <row r="55" spans="1:2" ht="15">
      <c r="A55" s="3" t="s">
        <v>139</v>
      </c>
      <c r="B55" s="3">
        <f>'Wendler''s 5-3-1'!B256</f>
        <v>0</v>
      </c>
    </row>
    <row r="56" spans="1:2" ht="15">
      <c r="A56" s="3" t="s">
        <v>140</v>
      </c>
      <c r="B56" s="3">
        <f>'Wendler''s 5-3-1'!C256</f>
        <v>0</v>
      </c>
    </row>
    <row r="57" spans="1:2" ht="15">
      <c r="A57" s="3" t="s">
        <v>141</v>
      </c>
      <c r="B57" s="3">
        <f>'Wendler''s 5-3-1'!D256</f>
        <v>0</v>
      </c>
    </row>
    <row r="58" spans="1:2" ht="15">
      <c r="A58" s="3" t="s">
        <v>142</v>
      </c>
      <c r="B58" s="3">
        <f>'Wendler''s 5-3-1'!B283</f>
        <v>0</v>
      </c>
    </row>
    <row r="59" spans="1:2" ht="15">
      <c r="A59" s="3" t="s">
        <v>143</v>
      </c>
      <c r="B59" s="3">
        <f>'Wendler''s 5-3-1'!C283</f>
        <v>0</v>
      </c>
    </row>
    <row r="60" spans="1:2" ht="15">
      <c r="A60" s="3" t="s">
        <v>144</v>
      </c>
      <c r="B60" s="3">
        <f>'Wendler''s 5-3-1'!D283</f>
        <v>0</v>
      </c>
    </row>
    <row r="61" spans="1:2" ht="15">
      <c r="A61" s="3" t="s">
        <v>145</v>
      </c>
      <c r="B61" s="3">
        <f>'Wendler''s 5-3-1'!B310</f>
        <v>0</v>
      </c>
    </row>
    <row r="62" spans="1:2" ht="15">
      <c r="A62" s="3" t="s">
        <v>146</v>
      </c>
      <c r="B62" s="3">
        <f>'Wendler''s 5-3-1'!C310</f>
        <v>0</v>
      </c>
    </row>
    <row r="63" spans="1:2" ht="15">
      <c r="A63" s="3" t="s">
        <v>147</v>
      </c>
      <c r="B63" s="3">
        <f>'Wendler''s 5-3-1'!D310</f>
        <v>0</v>
      </c>
    </row>
    <row r="64" spans="1:2" ht="15">
      <c r="A64" s="3" t="s">
        <v>148</v>
      </c>
      <c r="B64" s="3">
        <f>'Wendler''s 5-3-1'!B337</f>
        <v>0</v>
      </c>
    </row>
    <row r="65" spans="1:2" ht="15">
      <c r="A65" s="3" t="s">
        <v>149</v>
      </c>
      <c r="B65" s="3">
        <f>'Wendler''s 5-3-1'!C337</f>
        <v>0</v>
      </c>
    </row>
    <row r="66" spans="1:2" ht="15">
      <c r="A66" s="3" t="s">
        <v>150</v>
      </c>
      <c r="B66" s="3">
        <f>'Wendler''s 5-3-1'!D337</f>
        <v>0</v>
      </c>
    </row>
    <row r="67" spans="1:2" ht="15">
      <c r="A67" s="3" t="s">
        <v>151</v>
      </c>
      <c r="B67" s="3">
        <f>'Wendler''s 5-3-1'!B18</f>
        <v>0</v>
      </c>
    </row>
    <row r="68" spans="1:2" ht="15">
      <c r="A68" s="3" t="s">
        <v>152</v>
      </c>
      <c r="B68" s="3">
        <f>'Wendler''s 5-3-1'!C18</f>
        <v>0</v>
      </c>
    </row>
    <row r="69" spans="1:2" ht="15">
      <c r="A69" s="3" t="s">
        <v>153</v>
      </c>
      <c r="B69" s="3">
        <f>'Wendler''s 5-3-1'!D18</f>
        <v>0</v>
      </c>
    </row>
    <row r="70" spans="1:2" ht="15">
      <c r="A70" s="3" t="s">
        <v>154</v>
      </c>
      <c r="B70" s="3">
        <f>'Wendler''s 5-3-1'!B45</f>
        <v>0</v>
      </c>
    </row>
    <row r="71" spans="1:2" ht="15">
      <c r="A71" s="3" t="s">
        <v>155</v>
      </c>
      <c r="B71" s="3">
        <f>'Wendler''s 5-3-1'!C45</f>
        <v>0</v>
      </c>
    </row>
    <row r="72" spans="1:2" ht="15">
      <c r="A72" s="3" t="s">
        <v>156</v>
      </c>
      <c r="B72" s="3">
        <f>'Wendler''s 5-3-1'!D45</f>
        <v>0</v>
      </c>
    </row>
    <row r="73" spans="1:2" ht="15">
      <c r="A73" s="3" t="s">
        <v>157</v>
      </c>
      <c r="B73" s="3">
        <f>'Wendler''s 5-3-1'!B72</f>
        <v>0</v>
      </c>
    </row>
    <row r="74" spans="1:2" ht="15">
      <c r="A74" s="3" t="s">
        <v>158</v>
      </c>
      <c r="B74" s="3">
        <f>'Wendler''s 5-3-1'!C72</f>
        <v>0</v>
      </c>
    </row>
    <row r="75" spans="1:2" ht="15">
      <c r="A75" s="3" t="s">
        <v>159</v>
      </c>
      <c r="B75" s="3">
        <f>'Wendler''s 5-3-1'!D72</f>
        <v>0</v>
      </c>
    </row>
    <row r="76" spans="1:2" ht="15">
      <c r="A76" s="3" t="s">
        <v>160</v>
      </c>
      <c r="B76" s="3">
        <f>'Wendler''s 5-3-1'!B99</f>
        <v>0</v>
      </c>
    </row>
    <row r="77" spans="1:2" ht="15">
      <c r="A77" s="3" t="s">
        <v>161</v>
      </c>
      <c r="B77" s="3">
        <f>'Wendler''s 5-3-1'!C99</f>
        <v>0</v>
      </c>
    </row>
    <row r="78" spans="1:2" ht="15">
      <c r="A78" s="3" t="s">
        <v>162</v>
      </c>
      <c r="B78" s="3">
        <f>'Wendler''s 5-3-1'!D99</f>
        <v>0</v>
      </c>
    </row>
    <row r="79" spans="1:2" ht="15">
      <c r="A79" s="3" t="s">
        <v>163</v>
      </c>
      <c r="B79" s="3">
        <f>'Wendler''s 5-3-1'!B126</f>
        <v>0</v>
      </c>
    </row>
    <row r="80" spans="1:2" ht="15">
      <c r="A80" s="3" t="s">
        <v>164</v>
      </c>
      <c r="B80" s="3">
        <f>'Wendler''s 5-3-1'!C126</f>
        <v>0</v>
      </c>
    </row>
    <row r="81" spans="1:2" ht="15">
      <c r="A81" s="3" t="s">
        <v>165</v>
      </c>
      <c r="B81" s="3">
        <f>'Wendler''s 5-3-1'!D126</f>
        <v>0</v>
      </c>
    </row>
    <row r="82" spans="1:2" ht="15">
      <c r="A82" s="3" t="s">
        <v>166</v>
      </c>
      <c r="B82" s="3">
        <f>'Wendler''s 5-3-1'!B153</f>
        <v>0</v>
      </c>
    </row>
    <row r="83" spans="1:2" ht="15">
      <c r="A83" s="3" t="s">
        <v>167</v>
      </c>
      <c r="B83" s="3">
        <f>'Wendler''s 5-3-1'!C153</f>
        <v>0</v>
      </c>
    </row>
    <row r="84" spans="1:2" ht="15">
      <c r="A84" s="3" t="s">
        <v>168</v>
      </c>
      <c r="B84" s="3">
        <f>'Wendler''s 5-3-1'!D153</f>
        <v>0</v>
      </c>
    </row>
    <row r="85" spans="1:2" ht="15">
      <c r="A85" s="3" t="s">
        <v>169</v>
      </c>
      <c r="B85" s="3">
        <f>'Wendler''s 5-3-1'!B180</f>
        <v>0</v>
      </c>
    </row>
    <row r="86" spans="1:2" ht="15">
      <c r="A86" s="3" t="s">
        <v>170</v>
      </c>
      <c r="B86" s="3">
        <f>'Wendler''s 5-3-1'!C180</f>
        <v>0</v>
      </c>
    </row>
    <row r="87" spans="1:2" ht="15">
      <c r="A87" s="3" t="s">
        <v>171</v>
      </c>
      <c r="B87" s="3">
        <f>'Wendler''s 5-3-1'!D180</f>
        <v>0</v>
      </c>
    </row>
    <row r="88" spans="1:2" ht="15">
      <c r="A88" s="3" t="s">
        <v>172</v>
      </c>
      <c r="B88" s="3">
        <f>'Wendler''s 5-3-1'!B207</f>
        <v>0</v>
      </c>
    </row>
    <row r="89" spans="1:2" ht="15">
      <c r="A89" s="3" t="s">
        <v>173</v>
      </c>
      <c r="B89" s="3">
        <f>'Wendler''s 5-3-1'!C207</f>
        <v>0</v>
      </c>
    </row>
    <row r="90" spans="1:2" ht="15">
      <c r="A90" s="3" t="s">
        <v>174</v>
      </c>
      <c r="B90" s="3">
        <f>'Wendler''s 5-3-1'!D207</f>
        <v>0</v>
      </c>
    </row>
    <row r="91" spans="1:2" ht="15">
      <c r="A91" s="3" t="s">
        <v>175</v>
      </c>
      <c r="B91" s="3">
        <f>'Wendler''s 5-3-1'!B234</f>
        <v>0</v>
      </c>
    </row>
    <row r="92" spans="1:2" ht="15">
      <c r="A92" s="3" t="s">
        <v>176</v>
      </c>
      <c r="B92" s="3">
        <f>'Wendler''s 5-3-1'!C234</f>
        <v>0</v>
      </c>
    </row>
    <row r="93" spans="1:2" ht="15">
      <c r="A93" s="3" t="s">
        <v>177</v>
      </c>
      <c r="B93" s="3">
        <f>'Wendler''s 5-3-1'!D234</f>
        <v>0</v>
      </c>
    </row>
    <row r="94" spans="1:2" ht="15">
      <c r="A94" s="3" t="s">
        <v>178</v>
      </c>
      <c r="B94" s="3">
        <f>'Wendler''s 5-3-1'!B261</f>
        <v>0</v>
      </c>
    </row>
    <row r="95" spans="1:2" ht="15">
      <c r="A95" s="3" t="s">
        <v>179</v>
      </c>
      <c r="B95" s="3">
        <f>'Wendler''s 5-3-1'!C261</f>
        <v>0</v>
      </c>
    </row>
    <row r="96" spans="1:2" ht="15">
      <c r="A96" s="3" t="s">
        <v>180</v>
      </c>
      <c r="B96" s="3">
        <f>'Wendler''s 5-3-1'!D261</f>
        <v>0</v>
      </c>
    </row>
    <row r="97" spans="1:2" ht="15">
      <c r="A97" s="3" t="s">
        <v>181</v>
      </c>
      <c r="B97" s="3">
        <f>'Wendler''s 5-3-1'!B288</f>
        <v>0</v>
      </c>
    </row>
    <row r="98" spans="1:2" ht="15">
      <c r="A98" s="3" t="s">
        <v>182</v>
      </c>
      <c r="B98" s="3">
        <f>'Wendler''s 5-3-1'!C288</f>
        <v>0</v>
      </c>
    </row>
    <row r="99" spans="1:2" ht="15">
      <c r="A99" s="3" t="s">
        <v>183</v>
      </c>
      <c r="B99" s="3">
        <f>'Wendler''s 5-3-1'!D288</f>
        <v>0</v>
      </c>
    </row>
    <row r="100" spans="1:2" ht="15">
      <c r="A100" s="3" t="s">
        <v>184</v>
      </c>
      <c r="B100" s="3">
        <f>'Wendler''s 5-3-1'!B315</f>
        <v>0</v>
      </c>
    </row>
    <row r="101" spans="1:2" ht="15">
      <c r="A101" s="3" t="s">
        <v>185</v>
      </c>
      <c r="B101" s="3">
        <f>'Wendler''s 5-3-1'!C315</f>
        <v>0</v>
      </c>
    </row>
    <row r="102" spans="1:2" ht="15">
      <c r="A102" s="3" t="s">
        <v>186</v>
      </c>
      <c r="B102" s="3">
        <f>'Wendler''s 5-3-1'!D315</f>
        <v>0</v>
      </c>
    </row>
    <row r="103" spans="1:2" ht="15">
      <c r="A103" s="3" t="s">
        <v>187</v>
      </c>
      <c r="B103" s="3">
        <f>'Wendler''s 5-3-1'!B342</f>
        <v>0</v>
      </c>
    </row>
    <row r="104" spans="1:2" ht="15">
      <c r="A104" s="3" t="s">
        <v>188</v>
      </c>
      <c r="B104" s="3">
        <f>'Wendler''s 5-3-1'!C342</f>
        <v>0</v>
      </c>
    </row>
    <row r="105" spans="1:2" ht="15">
      <c r="A105" s="3" t="s">
        <v>189</v>
      </c>
      <c r="B105" s="3">
        <f>'Wendler''s 5-3-1'!D342</f>
        <v>0</v>
      </c>
    </row>
    <row r="106" spans="1:2" ht="15">
      <c r="A106" s="3" t="s">
        <v>190</v>
      </c>
      <c r="B106" s="3">
        <f>'Wendler''s 5-3-1'!B23</f>
        <v>0</v>
      </c>
    </row>
    <row r="107" spans="1:2" ht="15">
      <c r="A107" s="3" t="s">
        <v>191</v>
      </c>
      <c r="B107" s="3">
        <f>'Wendler''s 5-3-1'!C23</f>
        <v>0</v>
      </c>
    </row>
    <row r="108" spans="1:2" ht="15">
      <c r="A108" s="3" t="s">
        <v>192</v>
      </c>
      <c r="B108" s="3">
        <f>'Wendler''s 5-3-1'!D23</f>
        <v>0</v>
      </c>
    </row>
    <row r="109" spans="1:2" ht="15">
      <c r="A109" s="3" t="s">
        <v>193</v>
      </c>
      <c r="B109" s="3">
        <f>'Wendler''s 5-3-1'!B50</f>
        <v>0</v>
      </c>
    </row>
    <row r="110" spans="1:2" ht="15">
      <c r="A110" s="3" t="s">
        <v>194</v>
      </c>
      <c r="B110" s="3">
        <f>'Wendler''s 5-3-1'!C50</f>
        <v>0</v>
      </c>
    </row>
    <row r="111" spans="1:2" ht="15">
      <c r="A111" s="3" t="s">
        <v>195</v>
      </c>
      <c r="B111" s="3">
        <f>'Wendler''s 5-3-1'!D50</f>
        <v>0</v>
      </c>
    </row>
    <row r="112" spans="1:2" ht="15">
      <c r="A112" s="3" t="s">
        <v>196</v>
      </c>
      <c r="B112" s="3">
        <f>'Wendler''s 5-3-1'!B77</f>
        <v>0</v>
      </c>
    </row>
    <row r="113" spans="1:2" ht="15">
      <c r="A113" s="3" t="s">
        <v>197</v>
      </c>
      <c r="B113" s="3">
        <f>'Wendler''s 5-3-1'!C77</f>
        <v>0</v>
      </c>
    </row>
    <row r="114" spans="1:2" ht="15">
      <c r="A114" s="3" t="s">
        <v>198</v>
      </c>
      <c r="B114" s="3">
        <f>'Wendler''s 5-3-1'!D77</f>
        <v>0</v>
      </c>
    </row>
    <row r="115" spans="1:2" ht="15">
      <c r="A115" s="3" t="s">
        <v>199</v>
      </c>
      <c r="B115" s="3">
        <f>'Wendler''s 5-3-1'!B104</f>
        <v>0</v>
      </c>
    </row>
    <row r="116" spans="1:2" ht="15">
      <c r="A116" s="3" t="s">
        <v>200</v>
      </c>
      <c r="B116" s="3">
        <f>'Wendler''s 5-3-1'!C104</f>
        <v>0</v>
      </c>
    </row>
    <row r="117" spans="1:2" ht="15">
      <c r="A117" s="3" t="s">
        <v>201</v>
      </c>
      <c r="B117" s="3">
        <f>'Wendler''s 5-3-1'!D104</f>
        <v>0</v>
      </c>
    </row>
    <row r="118" spans="1:2" ht="15">
      <c r="A118" s="3" t="s">
        <v>202</v>
      </c>
      <c r="B118" s="3">
        <f>'Wendler''s 5-3-1'!B131</f>
        <v>0</v>
      </c>
    </row>
    <row r="119" spans="1:2" ht="15">
      <c r="A119" s="3" t="s">
        <v>203</v>
      </c>
      <c r="B119" s="3">
        <f>'Wendler''s 5-3-1'!C131</f>
        <v>0</v>
      </c>
    </row>
    <row r="120" spans="1:2" ht="15">
      <c r="A120" s="3" t="s">
        <v>204</v>
      </c>
      <c r="B120" s="3">
        <f>'Wendler''s 5-3-1'!D131</f>
        <v>0</v>
      </c>
    </row>
    <row r="121" spans="1:2" ht="15">
      <c r="A121" s="3" t="s">
        <v>205</v>
      </c>
      <c r="B121" s="3">
        <f>'Wendler''s 5-3-1'!B158</f>
        <v>0</v>
      </c>
    </row>
    <row r="122" spans="1:2" ht="15">
      <c r="A122" s="3" t="s">
        <v>206</v>
      </c>
      <c r="B122" s="3">
        <f>'Wendler''s 5-3-1'!C158</f>
        <v>0</v>
      </c>
    </row>
    <row r="123" spans="1:2" ht="15">
      <c r="A123" s="3" t="s">
        <v>207</v>
      </c>
      <c r="B123" s="3">
        <f>'Wendler''s 5-3-1'!D158</f>
        <v>0</v>
      </c>
    </row>
    <row r="124" spans="1:2" ht="15">
      <c r="A124" s="3" t="s">
        <v>208</v>
      </c>
      <c r="B124" s="3">
        <f>'Wendler''s 5-3-1'!B185</f>
        <v>0</v>
      </c>
    </row>
    <row r="125" spans="1:2" ht="15">
      <c r="A125" s="3" t="s">
        <v>209</v>
      </c>
      <c r="B125" s="3">
        <f>'Wendler''s 5-3-1'!C185</f>
        <v>0</v>
      </c>
    </row>
    <row r="126" spans="1:2" ht="15">
      <c r="A126" s="3" t="s">
        <v>210</v>
      </c>
      <c r="B126" s="3">
        <f>'Wendler''s 5-3-1'!D185</f>
        <v>0</v>
      </c>
    </row>
    <row r="127" spans="1:2" ht="15">
      <c r="A127" s="3" t="s">
        <v>211</v>
      </c>
      <c r="B127" s="3">
        <f>'Wendler''s 5-3-1'!B212</f>
        <v>0</v>
      </c>
    </row>
    <row r="128" spans="1:2" ht="15">
      <c r="A128" s="3" t="s">
        <v>212</v>
      </c>
      <c r="B128" s="3">
        <f>'Wendler''s 5-3-1'!C212</f>
        <v>0</v>
      </c>
    </row>
    <row r="129" spans="1:2" ht="15">
      <c r="A129" s="3" t="s">
        <v>213</v>
      </c>
      <c r="B129" s="3">
        <f>'Wendler''s 5-3-1'!D212</f>
        <v>0</v>
      </c>
    </row>
    <row r="130" spans="1:2" ht="15">
      <c r="A130" s="3" t="s">
        <v>214</v>
      </c>
      <c r="B130" s="3">
        <f>'Wendler''s 5-3-1'!B239</f>
        <v>0</v>
      </c>
    </row>
    <row r="131" spans="1:2" ht="15">
      <c r="A131" s="3" t="s">
        <v>215</v>
      </c>
      <c r="B131" s="3">
        <f>'Wendler''s 5-3-1'!C239</f>
        <v>0</v>
      </c>
    </row>
    <row r="132" spans="1:2" ht="15">
      <c r="A132" s="3" t="s">
        <v>216</v>
      </c>
      <c r="B132" s="3">
        <f>'Wendler''s 5-3-1'!D239</f>
        <v>0</v>
      </c>
    </row>
    <row r="133" spans="1:2" ht="15">
      <c r="A133" s="3" t="s">
        <v>217</v>
      </c>
      <c r="B133" s="3">
        <f>'Wendler''s 5-3-1'!B266</f>
        <v>0</v>
      </c>
    </row>
    <row r="134" spans="1:2" ht="15">
      <c r="A134" s="3" t="s">
        <v>218</v>
      </c>
      <c r="B134" s="3">
        <f>'Wendler''s 5-3-1'!C266</f>
        <v>0</v>
      </c>
    </row>
    <row r="135" spans="1:2" ht="15">
      <c r="A135" s="3" t="s">
        <v>219</v>
      </c>
      <c r="B135" s="3">
        <f>'Wendler''s 5-3-1'!D266</f>
        <v>0</v>
      </c>
    </row>
    <row r="136" spans="1:2" ht="15">
      <c r="A136" s="3" t="s">
        <v>220</v>
      </c>
      <c r="B136" s="3">
        <f>'Wendler''s 5-3-1'!B293</f>
        <v>0</v>
      </c>
    </row>
    <row r="137" spans="1:2" ht="15">
      <c r="A137" s="3" t="s">
        <v>221</v>
      </c>
      <c r="B137" s="3">
        <f>'Wendler''s 5-3-1'!C293</f>
        <v>0</v>
      </c>
    </row>
    <row r="138" spans="1:2" ht="15">
      <c r="A138" s="3" t="s">
        <v>222</v>
      </c>
      <c r="B138" s="3">
        <f>'Wendler''s 5-3-1'!D293</f>
        <v>0</v>
      </c>
    </row>
    <row r="139" spans="1:2" ht="15">
      <c r="A139" s="3" t="s">
        <v>223</v>
      </c>
      <c r="B139" s="3">
        <f>'Wendler''s 5-3-1'!B320</f>
        <v>0</v>
      </c>
    </row>
    <row r="140" spans="1:2" ht="15">
      <c r="A140" s="3" t="s">
        <v>224</v>
      </c>
      <c r="B140" s="3">
        <f>'Wendler''s 5-3-1'!C320</f>
        <v>0</v>
      </c>
    </row>
    <row r="141" spans="1:2" ht="15">
      <c r="A141" s="3" t="s">
        <v>225</v>
      </c>
      <c r="B141" s="3">
        <f>'Wendler''s 5-3-1'!D320</f>
        <v>0</v>
      </c>
    </row>
    <row r="142" spans="1:2" ht="15">
      <c r="A142" s="3" t="s">
        <v>226</v>
      </c>
      <c r="B142" s="3">
        <f>'Wendler''s 5-3-1'!B347</f>
        <v>0</v>
      </c>
    </row>
    <row r="143" spans="1:2" ht="15">
      <c r="A143" s="3" t="s">
        <v>227</v>
      </c>
      <c r="B143" s="3">
        <f>'Wendler''s 5-3-1'!C347</f>
        <v>0</v>
      </c>
    </row>
    <row r="144" spans="1:2" ht="15">
      <c r="A144" s="3" t="s">
        <v>228</v>
      </c>
      <c r="B144" s="3">
        <f>'Wendler''s 5-3-1'!D347</f>
        <v>0</v>
      </c>
    </row>
    <row r="145" spans="1:2" ht="15">
      <c r="A145" s="3" t="s">
        <v>229</v>
      </c>
      <c r="B145" s="3">
        <f>'Wendler''s 5-3-1'!B28</f>
        <v>0</v>
      </c>
    </row>
    <row r="146" spans="1:2" ht="15">
      <c r="A146" s="3" t="s">
        <v>230</v>
      </c>
      <c r="B146" s="3">
        <f>'Wendler''s 5-3-1'!C28</f>
        <v>0</v>
      </c>
    </row>
    <row r="147" spans="1:2" ht="15">
      <c r="A147" s="3" t="s">
        <v>231</v>
      </c>
      <c r="B147" s="3">
        <f>'Wendler''s 5-3-1'!D28</f>
        <v>0</v>
      </c>
    </row>
    <row r="148" spans="1:2" ht="15">
      <c r="A148" s="3" t="s">
        <v>232</v>
      </c>
      <c r="B148" s="3">
        <f>'Wendler''s 5-3-1'!B55</f>
        <v>0</v>
      </c>
    </row>
    <row r="149" spans="1:2" ht="15">
      <c r="A149" s="3" t="s">
        <v>233</v>
      </c>
      <c r="B149" s="3">
        <f>'Wendler''s 5-3-1'!C55</f>
        <v>0</v>
      </c>
    </row>
    <row r="150" spans="1:2" ht="15">
      <c r="A150" s="3" t="s">
        <v>234</v>
      </c>
      <c r="B150" s="3">
        <f>'Wendler''s 5-3-1'!D55</f>
        <v>0</v>
      </c>
    </row>
    <row r="151" spans="1:2" ht="15">
      <c r="A151" s="3" t="s">
        <v>235</v>
      </c>
      <c r="B151" s="3">
        <f>'Wendler''s 5-3-1'!B82</f>
        <v>0</v>
      </c>
    </row>
    <row r="152" spans="1:2" ht="15">
      <c r="A152" s="3" t="s">
        <v>236</v>
      </c>
      <c r="B152" s="3">
        <f>'Wendler''s 5-3-1'!C82</f>
        <v>0</v>
      </c>
    </row>
    <row r="153" spans="1:2" ht="15">
      <c r="A153" s="3" t="s">
        <v>237</v>
      </c>
      <c r="B153" s="3">
        <f>'Wendler''s 5-3-1'!D82</f>
        <v>0</v>
      </c>
    </row>
    <row r="154" spans="1:2" ht="15">
      <c r="A154" s="3" t="s">
        <v>238</v>
      </c>
      <c r="B154" s="3">
        <f>'Wendler''s 5-3-1'!B109</f>
        <v>0</v>
      </c>
    </row>
    <row r="155" spans="1:2" ht="15">
      <c r="A155" s="3" t="s">
        <v>239</v>
      </c>
      <c r="B155" s="3">
        <f>'Wendler''s 5-3-1'!C109</f>
        <v>0</v>
      </c>
    </row>
    <row r="156" spans="1:2" ht="15">
      <c r="A156" s="3" t="s">
        <v>240</v>
      </c>
      <c r="B156" s="3">
        <f>'Wendler''s 5-3-1'!D109</f>
        <v>0</v>
      </c>
    </row>
    <row r="157" spans="1:2" ht="15">
      <c r="A157" s="3" t="s">
        <v>241</v>
      </c>
      <c r="B157" s="3">
        <f>'Wendler''s 5-3-1'!B136</f>
        <v>0</v>
      </c>
    </row>
    <row r="158" spans="1:2" ht="15">
      <c r="A158" s="3" t="s">
        <v>242</v>
      </c>
      <c r="B158" s="3">
        <f>'Wendler''s 5-3-1'!C136</f>
        <v>0</v>
      </c>
    </row>
    <row r="159" spans="1:2" ht="15">
      <c r="A159" s="3" t="s">
        <v>243</v>
      </c>
      <c r="B159" s="3">
        <f>'Wendler''s 5-3-1'!D136</f>
        <v>0</v>
      </c>
    </row>
    <row r="160" spans="1:2" ht="15">
      <c r="A160" s="3" t="s">
        <v>244</v>
      </c>
      <c r="B160" s="3">
        <f>'Wendler''s 5-3-1'!B163</f>
        <v>0</v>
      </c>
    </row>
    <row r="161" spans="1:2" ht="15">
      <c r="A161" s="3" t="s">
        <v>245</v>
      </c>
      <c r="B161" s="3">
        <f>'Wendler''s 5-3-1'!C163</f>
        <v>0</v>
      </c>
    </row>
    <row r="162" spans="1:2" ht="15">
      <c r="A162" s="3" t="s">
        <v>246</v>
      </c>
      <c r="B162" s="3">
        <f>'Wendler''s 5-3-1'!D163</f>
        <v>0</v>
      </c>
    </row>
    <row r="163" spans="1:2" ht="15">
      <c r="A163" s="3" t="s">
        <v>247</v>
      </c>
      <c r="B163" s="3">
        <f>'Wendler''s 5-3-1'!B190</f>
        <v>0</v>
      </c>
    </row>
    <row r="164" spans="1:2" ht="15">
      <c r="A164" s="3" t="s">
        <v>248</v>
      </c>
      <c r="B164" s="3">
        <f>'Wendler''s 5-3-1'!C190</f>
        <v>0</v>
      </c>
    </row>
    <row r="165" spans="1:2" ht="15">
      <c r="A165" s="3" t="s">
        <v>249</v>
      </c>
      <c r="B165" s="3">
        <f>'Wendler''s 5-3-1'!D190</f>
        <v>0</v>
      </c>
    </row>
    <row r="166" spans="1:2" ht="15">
      <c r="A166" s="3" t="s">
        <v>250</v>
      </c>
      <c r="B166" s="3">
        <f>'Wendler''s 5-3-1'!B217</f>
        <v>0</v>
      </c>
    </row>
    <row r="167" spans="1:2" ht="15">
      <c r="A167" s="3" t="s">
        <v>251</v>
      </c>
      <c r="B167" s="3">
        <f>'Wendler''s 5-3-1'!C217</f>
        <v>0</v>
      </c>
    </row>
    <row r="168" spans="1:2" ht="15">
      <c r="A168" s="3" t="s">
        <v>252</v>
      </c>
      <c r="B168" s="3">
        <f>'Wendler''s 5-3-1'!D217</f>
        <v>0</v>
      </c>
    </row>
    <row r="169" spans="1:2" ht="15">
      <c r="A169" s="3" t="s">
        <v>253</v>
      </c>
      <c r="B169" s="3">
        <f>'Wendler''s 5-3-1'!B244</f>
        <v>0</v>
      </c>
    </row>
    <row r="170" spans="1:2" ht="15">
      <c r="A170" s="3" t="s">
        <v>254</v>
      </c>
      <c r="B170" s="3">
        <f>'Wendler''s 5-3-1'!C244</f>
        <v>0</v>
      </c>
    </row>
    <row r="171" spans="1:2" ht="15">
      <c r="A171" s="3" t="s">
        <v>255</v>
      </c>
      <c r="B171" s="3">
        <f>'Wendler''s 5-3-1'!D244</f>
        <v>0</v>
      </c>
    </row>
    <row r="172" spans="1:2" ht="15">
      <c r="A172" s="3" t="s">
        <v>256</v>
      </c>
      <c r="B172" s="3">
        <f>'Wendler''s 5-3-1'!B271</f>
        <v>0</v>
      </c>
    </row>
    <row r="173" spans="1:2" ht="15">
      <c r="A173" s="3" t="s">
        <v>257</v>
      </c>
      <c r="B173" s="3">
        <f>'Wendler''s 5-3-1'!C271</f>
        <v>0</v>
      </c>
    </row>
    <row r="174" spans="1:2" ht="15">
      <c r="A174" s="3" t="s">
        <v>258</v>
      </c>
      <c r="B174" s="3">
        <f>'Wendler''s 5-3-1'!D271</f>
        <v>0</v>
      </c>
    </row>
    <row r="175" spans="1:2" ht="15">
      <c r="A175" s="3" t="s">
        <v>259</v>
      </c>
      <c r="B175" s="3">
        <f>'Wendler''s 5-3-1'!B298</f>
        <v>0</v>
      </c>
    </row>
    <row r="176" spans="1:2" ht="15">
      <c r="A176" s="3" t="s">
        <v>260</v>
      </c>
      <c r="B176" s="3">
        <f>'Wendler''s 5-3-1'!C298</f>
        <v>0</v>
      </c>
    </row>
    <row r="177" spans="1:2" ht="15">
      <c r="A177" s="3" t="s">
        <v>261</v>
      </c>
      <c r="B177" s="3">
        <f>'Wendler''s 5-3-1'!D298</f>
        <v>0</v>
      </c>
    </row>
    <row r="178" spans="1:2" ht="15">
      <c r="A178" s="3" t="s">
        <v>262</v>
      </c>
      <c r="B178" s="3">
        <f>'Wendler''s 5-3-1'!B325</f>
        <v>0</v>
      </c>
    </row>
    <row r="179" spans="1:2" ht="15">
      <c r="A179" s="3" t="s">
        <v>263</v>
      </c>
      <c r="B179" s="3">
        <f>'Wendler''s 5-3-1'!C325</f>
        <v>0</v>
      </c>
    </row>
    <row r="180" spans="1:2" ht="15">
      <c r="A180" s="3" t="s">
        <v>264</v>
      </c>
      <c r="B180" s="3">
        <f>'Wendler''s 5-3-1'!D325</f>
        <v>0</v>
      </c>
    </row>
    <row r="181" spans="1:2" ht="15">
      <c r="A181" s="3" t="s">
        <v>265</v>
      </c>
      <c r="B181" s="3">
        <f>'Wendler''s 5-3-1'!B352</f>
        <v>0</v>
      </c>
    </row>
    <row r="182" spans="1:2" ht="15">
      <c r="A182" s="3" t="s">
        <v>266</v>
      </c>
      <c r="B182" s="3">
        <f>'Wendler''s 5-3-1'!C352</f>
        <v>0</v>
      </c>
    </row>
    <row r="183" spans="1:2" ht="15">
      <c r="A183" s="3" t="s">
        <v>267</v>
      </c>
      <c r="B183" s="3">
        <f>'Wendler''s 5-3-1'!D352</f>
        <v>0</v>
      </c>
    </row>
  </sheetData>
  <sheetProtection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MyExcelTemplates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Name Here</dc:creator>
  <cp:keywords/>
  <dc:description/>
  <cp:lastModifiedBy>Anthony</cp:lastModifiedBy>
  <cp:lastPrinted>2011-09-27T02:27:36Z</cp:lastPrinted>
  <dcterms:created xsi:type="dcterms:W3CDTF">2011-01-10T15:31:21Z</dcterms:created>
  <dcterms:modified xsi:type="dcterms:W3CDTF">2015-08-26T15:24:52Z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