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/>
  <bookViews>
    <workbookView xWindow="65521" yWindow="65521" windowWidth="10305" windowHeight="5805" activeTab="0"/>
  </bookViews>
  <sheets>
    <sheet name="Capital Budget" sheetId="1" r:id="rId1"/>
  </sheets>
  <definedNames/>
  <calcPr calcId="145621"/>
</workbook>
</file>

<file path=xl/sharedStrings.xml><?xml version="1.0" encoding="utf-8"?>
<sst xmlns="http://schemas.openxmlformats.org/spreadsheetml/2006/main" count="68" uniqueCount="64">
  <si>
    <t>Equity Analysis of a Project</t>
  </si>
  <si>
    <t>INITIAL INVESTMENT</t>
  </si>
  <si>
    <t>CASHFLOW DETAILS</t>
  </si>
  <si>
    <t>DISCOUNT RATE</t>
  </si>
  <si>
    <t>Lifetime of the investment</t>
  </si>
  <si>
    <t>2a. Beta</t>
  </si>
  <si>
    <t>WORKING CAPITAL</t>
  </si>
  <si>
    <t>GROWTH RATES</t>
  </si>
  <si>
    <t>Revenues</t>
  </si>
  <si>
    <t>Do not enter</t>
  </si>
  <si>
    <t>Fixed Expenses</t>
  </si>
  <si>
    <t>Default: The fixed expense growth rate is set equal to the growth rate in revenues by default.</t>
  </si>
  <si>
    <t>YEAR</t>
  </si>
  <si>
    <t>Investment</t>
  </si>
  <si>
    <t xml:space="preserve"> - Tax Credit</t>
  </si>
  <si>
    <t>Net Investment</t>
  </si>
  <si>
    <t xml:space="preserve"> + Working Cap</t>
  </si>
  <si>
    <t xml:space="preserve"> + Opp. Cost</t>
  </si>
  <si>
    <t xml:space="preserve"> + Other invest.</t>
  </si>
  <si>
    <t>Initial Investment</t>
  </si>
  <si>
    <t>SALVAGE VALUE</t>
  </si>
  <si>
    <t>Equipment</t>
  </si>
  <si>
    <t>Working Capital</t>
  </si>
  <si>
    <t>OPERATING CASHFLOWS</t>
  </si>
  <si>
    <t>Lifetime Index</t>
  </si>
  <si>
    <t xml:space="preserve"> -Var. Expenses</t>
  </si>
  <si>
    <t xml:space="preserve"> - Fixed Expenses</t>
  </si>
  <si>
    <t>EBITDA</t>
  </si>
  <si>
    <t xml:space="preserve"> - Depreciation</t>
  </si>
  <si>
    <t>EBIT</t>
  </si>
  <si>
    <t xml:space="preserve"> -Tax</t>
  </si>
  <si>
    <t>EBIT(1-t)</t>
  </si>
  <si>
    <t xml:space="preserve"> + Depreciation</t>
  </si>
  <si>
    <t xml:space="preserve"> - ∂ Work. Cap</t>
  </si>
  <si>
    <t>NATCF</t>
  </si>
  <si>
    <t>Discount Factor</t>
  </si>
  <si>
    <t>Discounted CF</t>
  </si>
  <si>
    <t>BOOK VALUE &amp; DEPRECIATION</t>
  </si>
  <si>
    <t>Book Value (beginning)</t>
  </si>
  <si>
    <t>Depreciation</t>
  </si>
  <si>
    <t>BV(ending)</t>
  </si>
  <si>
    <t>Opportunity cost (if any)</t>
  </si>
  <si>
    <t>Salvage Value at end of project</t>
  </si>
  <si>
    <t>Deprec. method(1:St.line;2:DDB)</t>
  </si>
  <si>
    <t>Tax Credit (if any )</t>
  </si>
  <si>
    <t>Other invest.(non-depreciable)</t>
  </si>
  <si>
    <t>Initial Investment in Work. Cap</t>
  </si>
  <si>
    <t>Working Capital as % of Rev</t>
  </si>
  <si>
    <t>Salvageable fraction at end</t>
  </si>
  <si>
    <t>Revenues in  year 1</t>
  </si>
  <si>
    <t>Fixed expenses in year 1</t>
  </si>
  <si>
    <t>Var. Expenses as % of Rev</t>
  </si>
  <si>
    <t>Tax rate on net income</t>
  </si>
  <si>
    <t>1. Discount rate</t>
  </si>
  <si>
    <t xml:space="preserve"> b. Riskless rate</t>
  </si>
  <si>
    <t xml:space="preserve"> c. Market risk premium</t>
  </si>
  <si>
    <t xml:space="preserve"> d. Debt Ratio</t>
  </si>
  <si>
    <t xml:space="preserve"> e. Cost of Borrowing</t>
  </si>
  <si>
    <t>Discount rate used</t>
  </si>
  <si>
    <t>Approach(1:Direct;2:CAPM)</t>
  </si>
  <si>
    <t>INVESTMENT MEASURES</t>
  </si>
  <si>
    <t>NPV</t>
  </si>
  <si>
    <t>IRR</t>
  </si>
  <si>
    <t>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</si>
</sst>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5">
    <font>
      <sz val="10"/>
      <name val="Geneva"/>
      <family val="2"/>
    </font>
    <font>
      <sz val="10"/>
      <name val="Arial"/>
      <family val="2"/>
    </font>
    <font>
      <b/>
      <i/>
      <sz val="10"/>
      <name val="Geneva"/>
      <family val="2"/>
    </font>
    <font>
      <sz val="12"/>
      <name val="Times"/>
      <family val="2"/>
    </font>
    <font>
      <sz val="10"/>
      <name val="Times"/>
      <family val="2"/>
    </font>
    <font>
      <b/>
      <i/>
      <sz val="18"/>
      <name val="Geneva"/>
      <family val="2"/>
    </font>
    <font>
      <b/>
      <sz val="10"/>
      <name val="Book Antiqua"/>
      <family val="1"/>
    </font>
    <font>
      <b/>
      <sz val="26"/>
      <name val="Bookman Old Style"/>
      <family val="1"/>
    </font>
    <font>
      <b/>
      <sz val="10"/>
      <color theme="0"/>
      <name val="Century"/>
      <family val="1"/>
    </font>
    <font>
      <sz val="10"/>
      <color theme="0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i/>
      <sz val="10"/>
      <name val="Century"/>
      <family val="1"/>
    </font>
    <font>
      <sz val="11"/>
      <color theme="1"/>
      <name val="Calibri"/>
      <family val="2"/>
    </font>
    <font>
      <sz val="10"/>
      <color theme="1"/>
      <name val="Geneva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 style="thin">
        <color theme="8" tint="-0.24993999302387238"/>
      </bottom>
    </border>
    <border>
      <left/>
      <right style="double"/>
      <top style="thin">
        <color theme="8" tint="-0.24993999302387238"/>
      </top>
      <bottom style="thin">
        <color theme="8" tint="-0.24993999302387238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thin">
        <color theme="8" tint="-0.24993999302387238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>
        <color theme="8" tint="-0.24993999302387238"/>
      </bottom>
    </border>
    <border>
      <left/>
      <right style="medium"/>
      <top style="thin">
        <color theme="8" tint="-0.24993999302387238"/>
      </top>
      <bottom style="thin">
        <color theme="8" tint="-0.2499399930238723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>
        <color theme="8" tint="-0.2499399930238723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/>
      <bottom/>
    </border>
    <border>
      <left/>
      <right/>
      <top/>
      <bottom style="thin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/>
      <right style="double"/>
      <top/>
      <bottom style="double"/>
    </border>
    <border>
      <left style="medium"/>
      <right/>
      <top style="thin"/>
      <bottom/>
    </border>
    <border>
      <left/>
      <right style="medium"/>
      <top style="thin"/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centerContinuous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/>
    <xf numFmtId="0" fontId="9" fillId="2" borderId="3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0" xfId="0" applyFont="1" applyBorder="1"/>
    <xf numFmtId="5" fontId="10" fillId="3" borderId="5" xfId="0" applyNumberFormat="1" applyFont="1" applyFill="1" applyBorder="1" applyAlignment="1">
      <alignment horizontal="center"/>
    </xf>
    <xf numFmtId="5" fontId="10" fillId="3" borderId="6" xfId="0" applyNumberFormat="1" applyFont="1" applyFill="1" applyBorder="1" applyAlignment="1">
      <alignment horizontal="center"/>
    </xf>
    <xf numFmtId="9" fontId="10" fillId="3" borderId="6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9" fontId="10" fillId="3" borderId="9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13" xfId="0" applyFont="1" applyBorder="1"/>
    <xf numFmtId="0" fontId="10" fillId="3" borderId="1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9" fontId="10" fillId="3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" borderId="15" xfId="0" applyFont="1" applyFill="1" applyBorder="1" applyAlignment="1">
      <alignment horizontal="center"/>
    </xf>
    <xf numFmtId="10" fontId="10" fillId="3" borderId="15" xfId="0" applyNumberFormat="1" applyFont="1" applyFill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10" fontId="10" fillId="3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left" vertical="center" indent="1"/>
    </xf>
    <xf numFmtId="0" fontId="10" fillId="0" borderId="20" xfId="0" applyFont="1" applyBorder="1"/>
    <xf numFmtId="10" fontId="11" fillId="0" borderId="21" xfId="0" applyNumberFormat="1" applyFont="1" applyBorder="1" applyAlignment="1">
      <alignment horizontal="center"/>
    </xf>
    <xf numFmtId="0" fontId="10" fillId="0" borderId="22" xfId="0" applyFont="1" applyBorder="1"/>
    <xf numFmtId="0" fontId="12" fillId="0" borderId="0" xfId="0" applyFont="1"/>
    <xf numFmtId="10" fontId="10" fillId="3" borderId="23" xfId="0" applyNumberFormat="1" applyFont="1" applyFill="1" applyBorder="1"/>
    <xf numFmtId="10" fontId="10" fillId="3" borderId="5" xfId="0" applyNumberFormat="1" applyFont="1" applyFill="1" applyBorder="1"/>
    <xf numFmtId="10" fontId="10" fillId="3" borderId="24" xfId="0" applyNumberFormat="1" applyFont="1" applyFill="1" applyBorder="1"/>
    <xf numFmtId="10" fontId="10" fillId="3" borderId="6" xfId="0" applyNumberFormat="1" applyFont="1" applyFill="1" applyBorder="1"/>
    <xf numFmtId="0" fontId="10" fillId="0" borderId="25" xfId="0" applyFont="1" applyBorder="1"/>
    <xf numFmtId="0" fontId="10" fillId="0" borderId="26" xfId="0" applyFont="1" applyBorder="1"/>
    <xf numFmtId="5" fontId="11" fillId="0" borderId="27" xfId="0" applyNumberFormat="1" applyFont="1" applyBorder="1"/>
    <xf numFmtId="5" fontId="11" fillId="0" borderId="28" xfId="0" applyNumberFormat="1" applyFont="1" applyBorder="1"/>
    <xf numFmtId="5" fontId="11" fillId="0" borderId="29" xfId="0" applyNumberFormat="1" applyFont="1" applyBorder="1"/>
    <xf numFmtId="5" fontId="11" fillId="0" borderId="0" xfId="0" applyNumberFormat="1" applyFont="1" applyBorder="1"/>
    <xf numFmtId="5" fontId="11" fillId="0" borderId="30" xfId="0" applyNumberFormat="1" applyFont="1" applyBorder="1"/>
    <xf numFmtId="5" fontId="11" fillId="0" borderId="17" xfId="0" applyNumberFormat="1" applyFont="1" applyBorder="1"/>
    <xf numFmtId="5" fontId="11" fillId="0" borderId="31" xfId="0" applyNumberFormat="1" applyFont="1" applyBorder="1"/>
    <xf numFmtId="0" fontId="11" fillId="0" borderId="0" xfId="0" applyFont="1" applyBorder="1"/>
    <xf numFmtId="0" fontId="11" fillId="0" borderId="30" xfId="0" applyFont="1" applyBorder="1"/>
    <xf numFmtId="0" fontId="8" fillId="2" borderId="3" xfId="0" applyFont="1" applyFill="1" applyBorder="1" applyAlignment="1">
      <alignment vertical="center"/>
    </xf>
    <xf numFmtId="0" fontId="11" fillId="0" borderId="4" xfId="0" applyFont="1" applyBorder="1" applyAlignment="1">
      <alignment horizontal="left" indent="1"/>
    </xf>
    <xf numFmtId="5" fontId="11" fillId="0" borderId="22" xfId="0" applyNumberFormat="1" applyFont="1" applyBorder="1"/>
    <xf numFmtId="10" fontId="11" fillId="0" borderId="22" xfId="0" applyNumberFormat="1" applyFont="1" applyBorder="1"/>
    <xf numFmtId="0" fontId="11" fillId="0" borderId="7" xfId="0" applyFont="1" applyBorder="1" applyAlignment="1">
      <alignment horizontal="left" indent="1"/>
    </xf>
    <xf numFmtId="10" fontId="11" fillId="0" borderId="2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533400</xdr:colOff>
      <xdr:row>6</xdr:row>
      <xdr:rowOff>161925</xdr:rowOff>
    </xdr:from>
    <xdr:ext cx="180975" cy="266700"/>
    <xdr:sp macro="" textlink="">
      <xdr:nvSpPr>
        <xdr:cNvPr id="2" name="TextBox 1"/>
        <xdr:cNvSpPr txBox="1"/>
      </xdr:nvSpPr>
      <xdr:spPr>
        <a:xfrm>
          <a:off x="14782800" y="208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285750</xdr:colOff>
      <xdr:row>3</xdr:row>
      <xdr:rowOff>66675</xdr:rowOff>
    </xdr:from>
    <xdr:ext cx="3524250" cy="438150"/>
    <xdr:sp macro="" textlink="">
      <xdr:nvSpPr>
        <xdr:cNvPr id="3" name="TextBox 2"/>
        <xdr:cNvSpPr txBox="1"/>
      </xdr:nvSpPr>
      <xdr:spPr>
        <a:xfrm>
          <a:off x="8820150" y="1247775"/>
          <a:ext cx="3524250" cy="4381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If you do not have the breakdown of fixed and variable expenses, input the entire expense as % of revenues.</a:t>
          </a:r>
        </a:p>
      </xdr:txBody>
    </xdr:sp>
    <xdr:clientData/>
  </xdr:oneCellAnchor>
  <xdr:oneCellAnchor>
    <xdr:from>
      <xdr:col>8</xdr:col>
      <xdr:colOff>304800</xdr:colOff>
      <xdr:row>5</xdr:row>
      <xdr:rowOff>190500</xdr:rowOff>
    </xdr:from>
    <xdr:ext cx="1190625" cy="1152525"/>
    <xdr:sp macro="" textlink="">
      <xdr:nvSpPr>
        <xdr:cNvPr id="4" name="TextBox 3"/>
        <xdr:cNvSpPr txBox="1"/>
      </xdr:nvSpPr>
      <xdr:spPr>
        <a:xfrm>
          <a:off x="8839200" y="1866900"/>
          <a:ext cx="1190625" cy="11525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Input</a:t>
          </a:r>
          <a:r>
            <a:rPr lang="en-US" sz="1100" baseline="0"/>
            <a:t> values in highlighted fields. Fields in bold will auto-calculate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7"/>
  <sheetViews>
    <sheetView showGridLines="0" tabSelected="1" workbookViewId="0" topLeftCell="A1">
      <selection activeCell="D5" sqref="D5"/>
    </sheetView>
  </sheetViews>
  <sheetFormatPr defaultColWidth="9.00390625" defaultRowHeight="12.75"/>
  <cols>
    <col min="1" max="1" width="3.875" style="0" customWidth="1"/>
    <col min="2" max="2" width="17.875" style="0" customWidth="1"/>
    <col min="3" max="3" width="15.25390625" style="0" customWidth="1"/>
    <col min="4" max="13" width="15.00390625" style="0" customWidth="1"/>
    <col min="14" max="256" width="11.375" style="0" customWidth="1"/>
  </cols>
  <sheetData>
    <row r="1" spans="2:13" s="4" customFormat="1" ht="55.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2" s="4" customFormat="1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4" s="6" customFormat="1" ht="20.1" customHeight="1" thickBot="1"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</row>
    <row r="4" spans="2:8" s="12" customFormat="1" ht="20.1" customHeight="1" thickTop="1">
      <c r="B4" s="9" t="s">
        <v>1</v>
      </c>
      <c r="C4" s="10"/>
      <c r="D4" s="11"/>
      <c r="F4" s="9" t="s">
        <v>6</v>
      </c>
      <c r="G4" s="10"/>
      <c r="H4" s="13"/>
    </row>
    <row r="5" spans="2:8" s="12" customFormat="1" ht="20.1" customHeight="1">
      <c r="B5" s="14" t="s">
        <v>19</v>
      </c>
      <c r="C5" s="15"/>
      <c r="D5" s="16">
        <v>50000</v>
      </c>
      <c r="F5" s="14" t="s">
        <v>46</v>
      </c>
      <c r="G5" s="15"/>
      <c r="H5" s="16">
        <v>10000</v>
      </c>
    </row>
    <row r="6" spans="2:8" s="12" customFormat="1" ht="20.1" customHeight="1">
      <c r="B6" s="14" t="s">
        <v>41</v>
      </c>
      <c r="C6" s="15"/>
      <c r="D6" s="17">
        <v>7484</v>
      </c>
      <c r="F6" s="14" t="s">
        <v>47</v>
      </c>
      <c r="G6" s="15"/>
      <c r="H6" s="18">
        <v>0.25</v>
      </c>
    </row>
    <row r="7" spans="2:8" s="12" customFormat="1" ht="20.1" customHeight="1" thickBot="1">
      <c r="B7" s="14" t="s">
        <v>4</v>
      </c>
      <c r="C7" s="15"/>
      <c r="D7" s="19">
        <v>10</v>
      </c>
      <c r="F7" s="20" t="s">
        <v>48</v>
      </c>
      <c r="G7" s="21"/>
      <c r="H7" s="22">
        <v>1</v>
      </c>
    </row>
    <row r="8" spans="2:4" s="12" customFormat="1" ht="20.1" customHeight="1" thickBot="1" thickTop="1">
      <c r="B8" s="14" t="s">
        <v>42</v>
      </c>
      <c r="C8" s="15"/>
      <c r="D8" s="17">
        <v>10000</v>
      </c>
    </row>
    <row r="9" spans="2:8" s="12" customFormat="1" ht="20.1" customHeight="1">
      <c r="B9" s="14" t="s">
        <v>43</v>
      </c>
      <c r="C9" s="15"/>
      <c r="D9" s="19">
        <v>2</v>
      </c>
      <c r="F9" s="23" t="s">
        <v>3</v>
      </c>
      <c r="G9" s="24"/>
      <c r="H9" s="25"/>
    </row>
    <row r="10" spans="2:8" s="12" customFormat="1" ht="20.1" customHeight="1">
      <c r="B10" s="14" t="s">
        <v>44</v>
      </c>
      <c r="C10" s="15"/>
      <c r="D10" s="18">
        <v>0.1</v>
      </c>
      <c r="F10" s="26" t="s">
        <v>59</v>
      </c>
      <c r="G10" s="15"/>
      <c r="H10" s="27">
        <v>2</v>
      </c>
    </row>
    <row r="11" spans="2:8" s="12" customFormat="1" ht="20.1" customHeight="1" thickBot="1">
      <c r="B11" s="20" t="s">
        <v>45</v>
      </c>
      <c r="C11" s="21"/>
      <c r="D11" s="28">
        <v>0</v>
      </c>
      <c r="F11" s="26" t="s">
        <v>53</v>
      </c>
      <c r="G11" s="15"/>
      <c r="H11" s="29">
        <v>0.1</v>
      </c>
    </row>
    <row r="12" spans="4:8" s="12" customFormat="1" ht="20.1" customHeight="1" thickBot="1" thickTop="1">
      <c r="D12" s="30"/>
      <c r="F12" s="26" t="s">
        <v>5</v>
      </c>
      <c r="G12" s="15"/>
      <c r="H12" s="31">
        <v>0.9</v>
      </c>
    </row>
    <row r="13" spans="2:8" s="12" customFormat="1" ht="20.1" customHeight="1" thickTop="1">
      <c r="B13" s="9" t="s">
        <v>2</v>
      </c>
      <c r="C13" s="10"/>
      <c r="D13" s="11"/>
      <c r="F13" s="26" t="s">
        <v>54</v>
      </c>
      <c r="G13" s="15"/>
      <c r="H13" s="32">
        <v>0.08</v>
      </c>
    </row>
    <row r="14" spans="2:8" s="12" customFormat="1" ht="20.1" customHeight="1">
      <c r="B14" s="14" t="s">
        <v>49</v>
      </c>
      <c r="C14" s="15"/>
      <c r="D14" s="16">
        <v>40000</v>
      </c>
      <c r="F14" s="26" t="s">
        <v>55</v>
      </c>
      <c r="G14" s="15"/>
      <c r="H14" s="32">
        <v>0.055</v>
      </c>
    </row>
    <row r="15" spans="2:8" s="12" customFormat="1" ht="20.1" customHeight="1">
      <c r="B15" s="14" t="s">
        <v>51</v>
      </c>
      <c r="C15" s="15"/>
      <c r="D15" s="18">
        <v>0.5</v>
      </c>
      <c r="F15" s="26" t="s">
        <v>56</v>
      </c>
      <c r="G15" s="15"/>
      <c r="H15" s="32">
        <v>0.3</v>
      </c>
    </row>
    <row r="16" spans="2:8" s="12" customFormat="1" ht="20.1" customHeight="1" thickBot="1">
      <c r="B16" s="14" t="s">
        <v>50</v>
      </c>
      <c r="C16" s="15"/>
      <c r="D16" s="19">
        <v>0</v>
      </c>
      <c r="F16" s="33" t="s">
        <v>57</v>
      </c>
      <c r="G16" s="34"/>
      <c r="H16" s="35">
        <v>0.09</v>
      </c>
    </row>
    <row r="17" spans="2:8" s="12" customFormat="1" ht="20.1" customHeight="1" thickBot="1">
      <c r="B17" s="20" t="s">
        <v>52</v>
      </c>
      <c r="C17" s="21"/>
      <c r="D17" s="22">
        <v>0.4</v>
      </c>
      <c r="F17" s="36" t="s">
        <v>58</v>
      </c>
      <c r="G17" s="37"/>
      <c r="H17" s="38">
        <f>IF(H10=1,H11,(H13+H12*H14)*(1-H15)+H16*(1-D17)*H15)</f>
        <v>0.10685</v>
      </c>
    </row>
    <row r="18" s="12" customFormat="1" ht="20.1" customHeight="1" thickBot="1" thickTop="1"/>
    <row r="19" spans="2:13" s="12" customFormat="1" ht="20.1" customHeight="1" thickTop="1">
      <c r="B19" s="9" t="s">
        <v>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2:13" s="40" customFormat="1" ht="20.1" customHeight="1">
      <c r="B20" s="14"/>
      <c r="C20" s="15"/>
      <c r="D20" s="15">
        <v>1</v>
      </c>
      <c r="E20" s="15">
        <v>2</v>
      </c>
      <c r="F20" s="15">
        <v>3</v>
      </c>
      <c r="G20" s="15">
        <v>4</v>
      </c>
      <c r="H20" s="15">
        <v>5</v>
      </c>
      <c r="I20" s="15">
        <v>6</v>
      </c>
      <c r="J20" s="15">
        <v>7</v>
      </c>
      <c r="K20" s="15">
        <v>8</v>
      </c>
      <c r="L20" s="15">
        <v>9</v>
      </c>
      <c r="M20" s="39">
        <v>10</v>
      </c>
    </row>
    <row r="21" spans="2:13" s="12" customFormat="1" ht="20.1" customHeight="1">
      <c r="B21" s="14" t="s">
        <v>8</v>
      </c>
      <c r="C21" s="15"/>
      <c r="D21" s="15" t="s">
        <v>9</v>
      </c>
      <c r="E21" s="41">
        <v>0.1</v>
      </c>
      <c r="F21" s="41">
        <v>0.1</v>
      </c>
      <c r="G21" s="41">
        <v>0.1</v>
      </c>
      <c r="H21" s="41">
        <v>0.1</v>
      </c>
      <c r="I21" s="41">
        <v>0</v>
      </c>
      <c r="J21" s="41">
        <v>0</v>
      </c>
      <c r="K21" s="41">
        <v>0</v>
      </c>
      <c r="L21" s="41">
        <v>0</v>
      </c>
      <c r="M21" s="42">
        <v>0</v>
      </c>
    </row>
    <row r="22" spans="2:13" s="12" customFormat="1" ht="20.1" customHeight="1">
      <c r="B22" s="14" t="s">
        <v>10</v>
      </c>
      <c r="C22" s="15"/>
      <c r="D22" s="15" t="s">
        <v>9</v>
      </c>
      <c r="E22" s="43">
        <f aca="true" t="shared" si="0" ref="E22:M22">E21</f>
        <v>0.1</v>
      </c>
      <c r="F22" s="43">
        <f t="shared" si="0"/>
        <v>0.1</v>
      </c>
      <c r="G22" s="43">
        <f t="shared" si="0"/>
        <v>0.1</v>
      </c>
      <c r="H22" s="43">
        <f t="shared" si="0"/>
        <v>0.1</v>
      </c>
      <c r="I22" s="43">
        <f t="shared" si="0"/>
        <v>0</v>
      </c>
      <c r="J22" s="43">
        <f t="shared" si="0"/>
        <v>0</v>
      </c>
      <c r="K22" s="43">
        <f t="shared" si="0"/>
        <v>0</v>
      </c>
      <c r="L22" s="43">
        <f t="shared" si="0"/>
        <v>0</v>
      </c>
      <c r="M22" s="44">
        <f t="shared" si="0"/>
        <v>0</v>
      </c>
    </row>
    <row r="23" spans="2:13" s="12" customFormat="1" ht="20.1" customHeight="1" thickBot="1">
      <c r="B23" s="20" t="s">
        <v>11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45"/>
    </row>
    <row r="24" s="12" customFormat="1" ht="13.5" thickTop="1">
      <c r="G24" s="12" t="s">
        <v>12</v>
      </c>
    </row>
    <row r="25" spans="3:13" s="12" customFormat="1" ht="13.5" thickBot="1">
      <c r="C25" s="12">
        <v>0</v>
      </c>
      <c r="D25" s="12">
        <v>1</v>
      </c>
      <c r="E25" s="12">
        <v>2</v>
      </c>
      <c r="F25" s="12">
        <v>3</v>
      </c>
      <c r="G25" s="12">
        <v>4</v>
      </c>
      <c r="H25" s="12">
        <v>5</v>
      </c>
      <c r="I25" s="12">
        <v>6</v>
      </c>
      <c r="J25" s="12">
        <v>7</v>
      </c>
      <c r="K25" s="12">
        <v>8</v>
      </c>
      <c r="L25" s="12">
        <v>9</v>
      </c>
      <c r="M25" s="12">
        <v>10</v>
      </c>
    </row>
    <row r="26" spans="2:3" s="12" customFormat="1" ht="18.75" customHeight="1">
      <c r="B26" s="23" t="s">
        <v>1</v>
      </c>
      <c r="C26" s="25"/>
    </row>
    <row r="27" spans="2:3" s="12" customFormat="1" ht="12.75">
      <c r="B27" s="46" t="s">
        <v>13</v>
      </c>
      <c r="C27" s="47">
        <f>D5</f>
        <v>50000</v>
      </c>
    </row>
    <row r="28" spans="2:3" s="12" customFormat="1" ht="12.75">
      <c r="B28" s="26" t="s">
        <v>14</v>
      </c>
      <c r="C28" s="48">
        <f>D5*D10</f>
        <v>5000</v>
      </c>
    </row>
    <row r="29" spans="2:3" s="12" customFormat="1" ht="12.75">
      <c r="B29" s="26" t="s">
        <v>15</v>
      </c>
      <c r="C29" s="48">
        <f>C27-C28</f>
        <v>45000</v>
      </c>
    </row>
    <row r="30" spans="2:3" s="12" customFormat="1" ht="12.75">
      <c r="B30" s="26" t="s">
        <v>16</v>
      </c>
      <c r="C30" s="48">
        <f>H5</f>
        <v>10000</v>
      </c>
    </row>
    <row r="31" spans="2:3" s="12" customFormat="1" ht="12.75">
      <c r="B31" s="26" t="s">
        <v>17</v>
      </c>
      <c r="C31" s="48">
        <f>D6</f>
        <v>7484</v>
      </c>
    </row>
    <row r="32" spans="2:3" s="12" customFormat="1" ht="12.75">
      <c r="B32" s="26" t="s">
        <v>18</v>
      </c>
      <c r="C32" s="48">
        <f>D11</f>
        <v>0</v>
      </c>
    </row>
    <row r="33" spans="2:3" s="12" customFormat="1" ht="13.5" thickBot="1">
      <c r="B33" s="33" t="s">
        <v>19</v>
      </c>
      <c r="C33" s="49">
        <f>C29+C30+C31+C32</f>
        <v>62484</v>
      </c>
    </row>
    <row r="34" s="12" customFormat="1" ht="13.5" thickBot="1"/>
    <row r="35" spans="2:13" s="12" customFormat="1" ht="18" customHeight="1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2:13" s="12" customFormat="1" ht="12.75">
      <c r="B36" s="26" t="s">
        <v>21</v>
      </c>
      <c r="C36" s="15"/>
      <c r="D36" s="50">
        <f>IF(D25=D7,D8,0)</f>
        <v>0</v>
      </c>
      <c r="E36" s="50">
        <f>IF(E25=D7,D8,0)</f>
        <v>0</v>
      </c>
      <c r="F36" s="50">
        <f>IF(F25=D7,D8,0)</f>
        <v>0</v>
      </c>
      <c r="G36" s="50">
        <f>IF(G25=D7,D8,0)</f>
        <v>0</v>
      </c>
      <c r="H36" s="50">
        <f>IF(H25=D7,D8,0)</f>
        <v>0</v>
      </c>
      <c r="I36" s="50">
        <f>IF(I25=D7,D8,0)</f>
        <v>0</v>
      </c>
      <c r="J36" s="50">
        <f>IF(J25=D7,D8,0)</f>
        <v>0</v>
      </c>
      <c r="K36" s="50">
        <f>IF(K25=D7,D8,0)</f>
        <v>0</v>
      </c>
      <c r="L36" s="50">
        <f>IF(L25=D7,D8,0)</f>
        <v>0</v>
      </c>
      <c r="M36" s="51">
        <f>IF(M25=D7,D8,0)</f>
        <v>10000</v>
      </c>
    </row>
    <row r="37" spans="2:13" s="12" customFormat="1" ht="13.5" thickBot="1">
      <c r="B37" s="33" t="s">
        <v>22</v>
      </c>
      <c r="C37" s="34"/>
      <c r="D37" s="52">
        <f>IF(D25=D7,(H5+SUM(D50:M50))*H7,0)</f>
        <v>0</v>
      </c>
      <c r="E37" s="52">
        <f>IF(E25=D7,(H5+SUM(D50:M50))*H7,0)</f>
        <v>0</v>
      </c>
      <c r="F37" s="52">
        <f>IF(F25=D7,(H5+SUM(D50:M50))*H7,0)</f>
        <v>0</v>
      </c>
      <c r="G37" s="52">
        <f>IF(G25=D7,(H5+SUM(D50:M50))*H7,0)</f>
        <v>0</v>
      </c>
      <c r="H37" s="52">
        <f>IF(H25=D7,(H5+SUM(D50:M50))*H7,0)</f>
        <v>0</v>
      </c>
      <c r="I37" s="52">
        <f>IF(21=D7,(H5+SUM(D50:M50))*H7,0)</f>
        <v>0</v>
      </c>
      <c r="J37" s="52">
        <f>IF(J25=D7,(H5+SUM(D50:M50))*H7,0)</f>
        <v>0</v>
      </c>
      <c r="K37" s="52">
        <f>IF(K25=D7,(H5+SUM(D50:M50))*H7,0)</f>
        <v>0</v>
      </c>
      <c r="L37" s="52">
        <f>IF(L25=D7,(H5+SUM(D50:M50))*H7,0)</f>
        <v>0</v>
      </c>
      <c r="M37" s="53">
        <f>IF(M25=D7,(H5+SUM(D50:M50))*H7,0)</f>
        <v>14641.000000000005</v>
      </c>
    </row>
    <row r="38" s="12" customFormat="1" ht="13.5" thickBot="1"/>
    <row r="39" spans="2:13" s="12" customFormat="1" ht="17.25" customHeight="1">
      <c r="B39" s="23" t="s">
        <v>23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</row>
    <row r="40" spans="2:13" s="12" customFormat="1" ht="12.75">
      <c r="B40" s="26" t="s">
        <v>24</v>
      </c>
      <c r="C40" s="54"/>
      <c r="D40" s="54">
        <f>IF(D25&gt;D7,0,1)</f>
        <v>1</v>
      </c>
      <c r="E40" s="54">
        <f>IF(E25&gt;D7,0,1)</f>
        <v>1</v>
      </c>
      <c r="F40" s="54">
        <f>IF(F25&gt;D7,0,1)</f>
        <v>1</v>
      </c>
      <c r="G40" s="54">
        <f>IF(G25&gt;D7,0,1)</f>
        <v>1</v>
      </c>
      <c r="H40" s="54">
        <f>IF(H25&gt;D7,0,1)</f>
        <v>1</v>
      </c>
      <c r="I40" s="54">
        <f>IF(I25&gt;D7,0,1)</f>
        <v>1</v>
      </c>
      <c r="J40" s="54">
        <f>IF(J25&gt;D7,0,1)</f>
        <v>1</v>
      </c>
      <c r="K40" s="54">
        <f>IF(K25&gt;D7,0,1)</f>
        <v>1</v>
      </c>
      <c r="L40" s="54">
        <f>IF(L25&gt;D7,0,1)</f>
        <v>1</v>
      </c>
      <c r="M40" s="55">
        <f>IF(M25&gt;D7,0,1)</f>
        <v>1</v>
      </c>
    </row>
    <row r="41" spans="2:13" s="12" customFormat="1" ht="12.75">
      <c r="B41" s="26" t="s">
        <v>8</v>
      </c>
      <c r="C41" s="50"/>
      <c r="D41" s="50">
        <f>D14</f>
        <v>40000</v>
      </c>
      <c r="E41" s="50">
        <f aca="true" t="shared" si="1" ref="E41:M41">D41*(1+E21)*E40</f>
        <v>44000</v>
      </c>
      <c r="F41" s="50">
        <f t="shared" si="1"/>
        <v>48400.00000000001</v>
      </c>
      <c r="G41" s="50">
        <f t="shared" si="1"/>
        <v>53240.000000000015</v>
      </c>
      <c r="H41" s="50">
        <f t="shared" si="1"/>
        <v>58564.00000000002</v>
      </c>
      <c r="I41" s="50">
        <f t="shared" si="1"/>
        <v>58564.00000000002</v>
      </c>
      <c r="J41" s="50">
        <f t="shared" si="1"/>
        <v>58564.00000000002</v>
      </c>
      <c r="K41" s="50">
        <f t="shared" si="1"/>
        <v>58564.00000000002</v>
      </c>
      <c r="L41" s="50">
        <f t="shared" si="1"/>
        <v>58564.00000000002</v>
      </c>
      <c r="M41" s="51">
        <f t="shared" si="1"/>
        <v>58564.00000000002</v>
      </c>
    </row>
    <row r="42" spans="2:13" s="12" customFormat="1" ht="12.75">
      <c r="B42" s="26" t="s">
        <v>25</v>
      </c>
      <c r="C42" s="50"/>
      <c r="D42" s="50">
        <f>D41*D15</f>
        <v>20000</v>
      </c>
      <c r="E42" s="50">
        <f>E41*D15</f>
        <v>22000</v>
      </c>
      <c r="F42" s="50">
        <f>F41*D15</f>
        <v>24200.000000000004</v>
      </c>
      <c r="G42" s="50">
        <f>G41*D15</f>
        <v>26620.000000000007</v>
      </c>
      <c r="H42" s="50">
        <f>H41*D15</f>
        <v>29282.00000000001</v>
      </c>
      <c r="I42" s="50">
        <f>I41*D15</f>
        <v>29282.00000000001</v>
      </c>
      <c r="J42" s="50">
        <f>J41*D15</f>
        <v>29282.00000000001</v>
      </c>
      <c r="K42" s="50">
        <f>K41*D15</f>
        <v>29282.00000000001</v>
      </c>
      <c r="L42" s="50">
        <f>L41*D15</f>
        <v>29282.00000000001</v>
      </c>
      <c r="M42" s="51">
        <f>M41*D15</f>
        <v>29282.00000000001</v>
      </c>
    </row>
    <row r="43" spans="2:13" s="12" customFormat="1" ht="12.75">
      <c r="B43" s="26" t="s">
        <v>26</v>
      </c>
      <c r="C43" s="50"/>
      <c r="D43" s="50">
        <f>D16</f>
        <v>0</v>
      </c>
      <c r="E43" s="50">
        <f aca="true" t="shared" si="2" ref="E43:M43">D43*(1+E22)*E40</f>
        <v>0</v>
      </c>
      <c r="F43" s="50">
        <f t="shared" si="2"/>
        <v>0</v>
      </c>
      <c r="G43" s="50">
        <f t="shared" si="2"/>
        <v>0</v>
      </c>
      <c r="H43" s="50">
        <f t="shared" si="2"/>
        <v>0</v>
      </c>
      <c r="I43" s="50">
        <f t="shared" si="2"/>
        <v>0</v>
      </c>
      <c r="J43" s="50">
        <f t="shared" si="2"/>
        <v>0</v>
      </c>
      <c r="K43" s="50">
        <f t="shared" si="2"/>
        <v>0</v>
      </c>
      <c r="L43" s="50">
        <f t="shared" si="2"/>
        <v>0</v>
      </c>
      <c r="M43" s="51">
        <f t="shared" si="2"/>
        <v>0</v>
      </c>
    </row>
    <row r="44" spans="2:13" s="12" customFormat="1" ht="12.75">
      <c r="B44" s="26" t="s">
        <v>27</v>
      </c>
      <c r="C44" s="50"/>
      <c r="D44" s="50">
        <f aca="true" t="shared" si="3" ref="D44:M44">D41-D42-D43</f>
        <v>20000</v>
      </c>
      <c r="E44" s="50">
        <f t="shared" si="3"/>
        <v>22000</v>
      </c>
      <c r="F44" s="50">
        <f t="shared" si="3"/>
        <v>24200.000000000004</v>
      </c>
      <c r="G44" s="50">
        <f t="shared" si="3"/>
        <v>26620.000000000007</v>
      </c>
      <c r="H44" s="50">
        <f t="shared" si="3"/>
        <v>29282.00000000001</v>
      </c>
      <c r="I44" s="50">
        <f t="shared" si="3"/>
        <v>29282.00000000001</v>
      </c>
      <c r="J44" s="50">
        <f t="shared" si="3"/>
        <v>29282.00000000001</v>
      </c>
      <c r="K44" s="50">
        <f t="shared" si="3"/>
        <v>29282.00000000001</v>
      </c>
      <c r="L44" s="50">
        <f t="shared" si="3"/>
        <v>29282.00000000001</v>
      </c>
      <c r="M44" s="51">
        <f t="shared" si="3"/>
        <v>29282.00000000001</v>
      </c>
    </row>
    <row r="45" spans="2:13" s="12" customFormat="1" ht="12.75">
      <c r="B45" s="26" t="s">
        <v>28</v>
      </c>
      <c r="C45" s="50"/>
      <c r="D45" s="50">
        <f aca="true" t="shared" si="4" ref="D45:M45">D63</f>
        <v>10000</v>
      </c>
      <c r="E45" s="50">
        <f t="shared" si="4"/>
        <v>8000</v>
      </c>
      <c r="F45" s="50">
        <f t="shared" si="4"/>
        <v>6400.000000000002</v>
      </c>
      <c r="G45" s="50">
        <f t="shared" si="4"/>
        <v>5120.000000000002</v>
      </c>
      <c r="H45" s="50">
        <f t="shared" si="4"/>
        <v>4096.000000000003</v>
      </c>
      <c r="I45" s="50">
        <f t="shared" si="4"/>
        <v>3276.8000000000025</v>
      </c>
      <c r="J45" s="50">
        <f t="shared" si="4"/>
        <v>2621.440000000002</v>
      </c>
      <c r="K45" s="50">
        <f t="shared" si="4"/>
        <v>485.7600000000075</v>
      </c>
      <c r="L45" s="50">
        <f t="shared" si="4"/>
        <v>0</v>
      </c>
      <c r="M45" s="51">
        <f t="shared" si="4"/>
        <v>0</v>
      </c>
    </row>
    <row r="46" spans="2:13" s="12" customFormat="1" ht="12.75">
      <c r="B46" s="26" t="s">
        <v>29</v>
      </c>
      <c r="C46" s="50"/>
      <c r="D46" s="50">
        <f>D44-D45</f>
        <v>10000</v>
      </c>
      <c r="E46" s="50">
        <f aca="true" t="shared" si="5" ref="E46:M46">E44-E45</f>
        <v>14000</v>
      </c>
      <c r="F46" s="50">
        <f t="shared" si="5"/>
        <v>17800</v>
      </c>
      <c r="G46" s="50">
        <f t="shared" si="5"/>
        <v>21500.000000000007</v>
      </c>
      <c r="H46" s="50">
        <f t="shared" si="5"/>
        <v>25186.000000000007</v>
      </c>
      <c r="I46" s="50">
        <f t="shared" si="5"/>
        <v>26005.200000000008</v>
      </c>
      <c r="J46" s="50">
        <f t="shared" si="5"/>
        <v>26660.56000000001</v>
      </c>
      <c r="K46" s="50">
        <f t="shared" si="5"/>
        <v>28796.240000000005</v>
      </c>
      <c r="L46" s="50">
        <f t="shared" si="5"/>
        <v>29282.00000000001</v>
      </c>
      <c r="M46" s="51">
        <f t="shared" si="5"/>
        <v>29282.00000000001</v>
      </c>
    </row>
    <row r="47" spans="2:13" s="12" customFormat="1" ht="12.75">
      <c r="B47" s="26" t="s">
        <v>30</v>
      </c>
      <c r="C47" s="50"/>
      <c r="D47" s="50">
        <f>D46*D17</f>
        <v>4000</v>
      </c>
      <c r="E47" s="50">
        <f>E46*D17</f>
        <v>5600</v>
      </c>
      <c r="F47" s="50">
        <f>F46*D17</f>
        <v>7120</v>
      </c>
      <c r="G47" s="50">
        <f>G46*D17</f>
        <v>8600.000000000004</v>
      </c>
      <c r="H47" s="50">
        <f>H46*D17</f>
        <v>10074.400000000003</v>
      </c>
      <c r="I47" s="50">
        <f>I46*D17</f>
        <v>10402.080000000004</v>
      </c>
      <c r="J47" s="50">
        <f>J46*D17</f>
        <v>10664.224000000004</v>
      </c>
      <c r="K47" s="50">
        <f>K46*D17</f>
        <v>11518.496000000003</v>
      </c>
      <c r="L47" s="50">
        <f>L46*D17</f>
        <v>11712.800000000005</v>
      </c>
      <c r="M47" s="51">
        <f>M46*D17</f>
        <v>11712.800000000005</v>
      </c>
    </row>
    <row r="48" spans="2:13" s="12" customFormat="1" ht="12.75">
      <c r="B48" s="26" t="s">
        <v>31</v>
      </c>
      <c r="C48" s="50"/>
      <c r="D48" s="50">
        <f aca="true" t="shared" si="6" ref="D48:M48">D46-D47</f>
        <v>6000</v>
      </c>
      <c r="E48" s="50">
        <f t="shared" si="6"/>
        <v>8400</v>
      </c>
      <c r="F48" s="50">
        <f t="shared" si="6"/>
        <v>10680</v>
      </c>
      <c r="G48" s="50">
        <f t="shared" si="6"/>
        <v>12900.000000000004</v>
      </c>
      <c r="H48" s="50">
        <f t="shared" si="6"/>
        <v>15111.600000000004</v>
      </c>
      <c r="I48" s="50">
        <f t="shared" si="6"/>
        <v>15603.120000000004</v>
      </c>
      <c r="J48" s="50">
        <f t="shared" si="6"/>
        <v>15996.336000000005</v>
      </c>
      <c r="K48" s="50">
        <f t="shared" si="6"/>
        <v>17277.744000000002</v>
      </c>
      <c r="L48" s="50">
        <f t="shared" si="6"/>
        <v>17569.200000000004</v>
      </c>
      <c r="M48" s="51">
        <f t="shared" si="6"/>
        <v>17569.200000000004</v>
      </c>
    </row>
    <row r="49" spans="2:13" s="12" customFormat="1" ht="12.75">
      <c r="B49" s="26" t="s">
        <v>32</v>
      </c>
      <c r="C49" s="50"/>
      <c r="D49" s="50">
        <f aca="true" t="shared" si="7" ref="D49:M49">D45</f>
        <v>10000</v>
      </c>
      <c r="E49" s="50">
        <f t="shared" si="7"/>
        <v>8000</v>
      </c>
      <c r="F49" s="50">
        <f t="shared" si="7"/>
        <v>6400.000000000002</v>
      </c>
      <c r="G49" s="50">
        <f t="shared" si="7"/>
        <v>5120.000000000002</v>
      </c>
      <c r="H49" s="50">
        <f t="shared" si="7"/>
        <v>4096.000000000003</v>
      </c>
      <c r="I49" s="50">
        <f t="shared" si="7"/>
        <v>3276.8000000000025</v>
      </c>
      <c r="J49" s="50">
        <f t="shared" si="7"/>
        <v>2621.440000000002</v>
      </c>
      <c r="K49" s="50">
        <f t="shared" si="7"/>
        <v>485.7600000000075</v>
      </c>
      <c r="L49" s="50">
        <f t="shared" si="7"/>
        <v>0</v>
      </c>
      <c r="M49" s="51">
        <f t="shared" si="7"/>
        <v>0</v>
      </c>
    </row>
    <row r="50" spans="2:13" s="12" customFormat="1" ht="12.75">
      <c r="B50" s="26" t="s">
        <v>33</v>
      </c>
      <c r="C50" s="50"/>
      <c r="D50" s="50">
        <f>(H6*D41-C30)*D40</f>
        <v>0</v>
      </c>
      <c r="E50" s="50">
        <f>(H6*E41-C30)*E40</f>
        <v>1000</v>
      </c>
      <c r="F50" s="50">
        <f>(H6*F41-C30-SUM(D50,E50))*F40</f>
        <v>1100.0000000000018</v>
      </c>
      <c r="G50" s="50">
        <f>(H6*G41-C30-SUM(D50:F50))*G40</f>
        <v>1210.0000000000018</v>
      </c>
      <c r="H50" s="50">
        <f>(H6*H41-C30-SUM(D50:G50))*H40</f>
        <v>1331.0000000000018</v>
      </c>
      <c r="I50" s="50">
        <f>(H6*I41-C30-SUM(D50:H50))*I40</f>
        <v>0</v>
      </c>
      <c r="J50" s="50">
        <f>(H6*J41-C30-SUM(D50:I50))*J40</f>
        <v>0</v>
      </c>
      <c r="K50" s="50">
        <f>(H6*K41-C30-SUM(D50:J50))*K40</f>
        <v>0</v>
      </c>
      <c r="L50" s="50">
        <f>(H6*L41-C30-SUM(D50:K50))*L40</f>
        <v>0</v>
      </c>
      <c r="M50" s="51">
        <f>(H6*M41-C30-SUM(D50:L50))*M40</f>
        <v>0</v>
      </c>
    </row>
    <row r="51" spans="2:13" s="12" customFormat="1" ht="12.75">
      <c r="B51" s="26" t="s">
        <v>34</v>
      </c>
      <c r="C51" s="50">
        <f>0-C33</f>
        <v>-62484</v>
      </c>
      <c r="D51" s="50">
        <f>D48+D49-D50</f>
        <v>16000</v>
      </c>
      <c r="E51" s="50">
        <f aca="true" t="shared" si="8" ref="E51:M51">E48+E49-E50</f>
        <v>15400</v>
      </c>
      <c r="F51" s="50">
        <f t="shared" si="8"/>
        <v>15979.999999999998</v>
      </c>
      <c r="G51" s="50">
        <f t="shared" si="8"/>
        <v>16810.000000000007</v>
      </c>
      <c r="H51" s="50">
        <f t="shared" si="8"/>
        <v>17876.600000000006</v>
      </c>
      <c r="I51" s="50">
        <f t="shared" si="8"/>
        <v>18879.920000000006</v>
      </c>
      <c r="J51" s="50">
        <f t="shared" si="8"/>
        <v>18617.776000000005</v>
      </c>
      <c r="K51" s="50">
        <f t="shared" si="8"/>
        <v>17763.504000000008</v>
      </c>
      <c r="L51" s="50">
        <f t="shared" si="8"/>
        <v>17569.200000000004</v>
      </c>
      <c r="M51" s="51">
        <f t="shared" si="8"/>
        <v>17569.200000000004</v>
      </c>
    </row>
    <row r="52" spans="2:13" s="12" customFormat="1" ht="12.75">
      <c r="B52" s="26" t="s">
        <v>35</v>
      </c>
      <c r="C52" s="54">
        <f>1</f>
        <v>1</v>
      </c>
      <c r="D52" s="54">
        <f>D40*(1+H17)^D25</f>
        <v>1.1068500000000001</v>
      </c>
      <c r="E52" s="54">
        <f>E40*(1+H17)^E25</f>
        <v>1.2251169225000003</v>
      </c>
      <c r="F52" s="54">
        <f>F40*(1+H17)^F25</f>
        <v>1.3560206656691254</v>
      </c>
      <c r="G52" s="54">
        <f>G40*(1+H17)^G25</f>
        <v>1.5009114737958718</v>
      </c>
      <c r="H52" s="54">
        <f>H40*(1+H17)^H25</f>
        <v>1.661283864770961</v>
      </c>
      <c r="I52" s="54">
        <f>I40*(1+H17)^I25</f>
        <v>1.8387920457217382</v>
      </c>
      <c r="J52" s="54">
        <f>J40*(1+H17)^J25</f>
        <v>2.0352669758071062</v>
      </c>
      <c r="K52" s="54">
        <f>K40*(1+H17)^K25</f>
        <v>2.252735252172096</v>
      </c>
      <c r="L52" s="54">
        <f>L40*(1+H17)^L25</f>
        <v>2.493440013866685</v>
      </c>
      <c r="M52" s="55">
        <f>M40*(1+H17)^M25</f>
        <v>2.75986407934834</v>
      </c>
    </row>
    <row r="53" spans="2:13" s="12" customFormat="1" ht="13.5" thickBot="1">
      <c r="B53" s="33" t="s">
        <v>36</v>
      </c>
      <c r="C53" s="52">
        <f>0-C33</f>
        <v>-62484</v>
      </c>
      <c r="D53" s="52">
        <f>(D51+D36+D37)/(1+H17)^D25</f>
        <v>14455.436599358538</v>
      </c>
      <c r="E53" s="52">
        <f>(E51+E36+E37)/(1+H17)^E25</f>
        <v>12570.228781571659</v>
      </c>
      <c r="F53" s="52">
        <f>(F51+F36+F37)/(1+H17)^F25</f>
        <v>11784.481169477385</v>
      </c>
      <c r="G53" s="52">
        <f>(G51+G36+G37)/(1+H17)^G25</f>
        <v>11199.861080072078</v>
      </c>
      <c r="H53" s="52">
        <f>(H51+H36+H37)/(1+H17)^H25</f>
        <v>10760.713673978065</v>
      </c>
      <c r="I53" s="52">
        <f>(I51+I36+I37)/(1+H17)^I25</f>
        <v>10267.566712574891</v>
      </c>
      <c r="J53" s="52">
        <f>(J51+J36+J37)/(1+H17)^J25</f>
        <v>9147.584184928335</v>
      </c>
      <c r="K53" s="52">
        <f>(K51+K36+K37)/(1+H17)^K25</f>
        <v>7885.304756904909</v>
      </c>
      <c r="L53" s="52">
        <f>(L51+L36+L37)/(1+H17)^L25</f>
        <v>7046.169108658319</v>
      </c>
      <c r="M53" s="53">
        <f>(M51+M36+M37)/(1+H17)^M25</f>
        <v>15294.303917302585</v>
      </c>
    </row>
    <row r="54" s="12" customFormat="1" ht="13.5" thickBot="1"/>
    <row r="55" spans="2:3" s="12" customFormat="1" ht="19.5" customHeight="1" thickTop="1">
      <c r="B55" s="9" t="s">
        <v>60</v>
      </c>
      <c r="C55" s="56"/>
    </row>
    <row r="56" spans="2:3" s="12" customFormat="1" ht="12.75">
      <c r="B56" s="57" t="s">
        <v>61</v>
      </c>
      <c r="C56" s="58">
        <f>SUM(C53:M53)</f>
        <v>47927.64998482676</v>
      </c>
    </row>
    <row r="57" spans="2:3" s="12" customFormat="1" ht="12.75">
      <c r="B57" s="57" t="s">
        <v>62</v>
      </c>
      <c r="C57" s="59">
        <f>IRR(C51:M51,H17)</f>
        <v>0.23553936023852473</v>
      </c>
    </row>
    <row r="58" spans="2:3" s="12" customFormat="1" ht="13.5" thickBot="1">
      <c r="B58" s="60" t="s">
        <v>63</v>
      </c>
      <c r="C58" s="61">
        <f>SUM(D48:M48)/SUM(C64:L64)</f>
        <v>0.6011971746005914</v>
      </c>
    </row>
    <row r="59" s="12" customFormat="1" ht="13.5" thickTop="1"/>
    <row r="60" s="12" customFormat="1" ht="13.5" thickBot="1"/>
    <row r="61" spans="2:13" s="12" customFormat="1" ht="21" customHeight="1">
      <c r="B61" s="23" t="s">
        <v>37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5"/>
    </row>
    <row r="62" spans="2:13" s="12" customFormat="1" ht="12.75">
      <c r="B62" s="26" t="s">
        <v>38</v>
      </c>
      <c r="C62" s="54"/>
      <c r="D62" s="50">
        <f>D5</f>
        <v>50000</v>
      </c>
      <c r="E62" s="50">
        <f aca="true" t="shared" si="9" ref="E62:M62">(D62-D63)*E40</f>
        <v>40000</v>
      </c>
      <c r="F62" s="50">
        <f t="shared" si="9"/>
        <v>32000</v>
      </c>
      <c r="G62" s="50">
        <f t="shared" si="9"/>
        <v>25600</v>
      </c>
      <c r="H62" s="50">
        <f t="shared" si="9"/>
        <v>20480</v>
      </c>
      <c r="I62" s="50">
        <f t="shared" si="9"/>
        <v>16383.999999999996</v>
      </c>
      <c r="J62" s="50">
        <f t="shared" si="9"/>
        <v>13107.199999999993</v>
      </c>
      <c r="K62" s="50">
        <f t="shared" si="9"/>
        <v>10485.759999999991</v>
      </c>
      <c r="L62" s="50">
        <f t="shared" si="9"/>
        <v>9999.999999999984</v>
      </c>
      <c r="M62" s="51">
        <f t="shared" si="9"/>
        <v>9999.999999999984</v>
      </c>
    </row>
    <row r="63" spans="2:13" s="12" customFormat="1" ht="12.75">
      <c r="B63" s="26" t="s">
        <v>39</v>
      </c>
      <c r="C63" s="54"/>
      <c r="D63" s="50">
        <f>IF(D9=1,((D5-D8)/D7)*D40,(IF(D8&lt;D5*(1-2/D7)^(D25),D5*(1-2/D7)^(D25-1)*(2/D7)*D40,(IF(0&lt;(D5*(1-2/D7)^(D25-1))-D8,0,D5*D40*(1-2/D7)^(D25-1)-D8)))))</f>
        <v>10000</v>
      </c>
      <c r="E63" s="50">
        <f>IF(D9=1,((D5-D8)/D7)*E40,(IF(D8&lt;D5*(1-2/D7)^(E25),D5*(1-2/D7)^(E25-1)*(2/D7)*E40,(IF(0&lt;(D5*(1-2/D7)^(E25-1))-D8,0,D5*E40*(1-2/D7)^(E25-1)-D8)))))</f>
        <v>8000</v>
      </c>
      <c r="F63" s="50">
        <f>IF(D9=1,((D5-D8)/D7)*F40,(IF(D8&lt;D5*(1-2/D7)^(F25),D5*(1-2/D7)^(F25-1)*(2/D7)*F40,(IF(0&lt;(D5*(1-2/D7)^(F25-1))-D8,0,D5*F40*(1-2/D7)^(F25-1)-D8)))))</f>
        <v>6400.000000000002</v>
      </c>
      <c r="G63" s="50">
        <f>IF(D9=1,((D5-D8)/D7)*G40,(IF(D8&lt;D5*(1-2/D7)^(G25),D5*(1-2/D7)^(G25-1)*(2/D7)*G40,(IF(0&gt;(D5*(1-2/D7)^(G25-1))-D8,0,D5*G40*(1-2/D7)^(G25-1)-D8)))))</f>
        <v>5120.000000000002</v>
      </c>
      <c r="H63" s="50">
        <f>IF(D9=1,((D5-D8)/D7)*G40,(IF(D8&lt;D5*(1-2/D7)^(H25),D5*(1-2/D7)^(H25-1)*(2/D7)*H40,(IF(0&gt;(D5*(1-2/D7)^(H25-1))-D8,0,D5*H40*(1-2/D7)^(H25-1)-D8)))))</f>
        <v>4096.000000000003</v>
      </c>
      <c r="I63" s="50">
        <f>IF(D9=1,((D5-D8)/D7)*I40,(IF(D8&lt;D5*(1-2/D7)^(I25),D5*(1-2/D7)^(I25-1)*(2/D7)*I40,(IF(0&gt;(D5*(1-2/D7)^(I25-1))-D8,0,D5*I40*(1-2/D7)^(I25-1)-D8)))))</f>
        <v>3276.8000000000025</v>
      </c>
      <c r="J63" s="50">
        <f>IF(D9=1,((D5-D8)/D7)*J40,(IF(D8&lt;D5*(1-2/D7)^(J25),D5*(1-2/D7)^(J25-1)*(2/D7)*J40,(IF(0&gt;(D5*(1-2/D7)^(J25-1))-D8,0,D5*J40*(1-2/D7)^(J25-1)-D8)))))</f>
        <v>2621.440000000002</v>
      </c>
      <c r="K63" s="50">
        <f>IF(D9=1,((D5-D8)/D7)*K40,(IF(D8&lt;D5*(1-2/D7)^(K25),D5*(1-2/D7)^(K25-1)*(2/D7)*K40,(IF(0&gt;(D5*(1-2/D7)^(K25-1))-D8,0,D5*K40*(1-2/D7)^(K25-1)-D8)))))</f>
        <v>485.7600000000075</v>
      </c>
      <c r="L63" s="50">
        <f>IF(D9=1,((D5-D8)/D7)*L40,(IF(D8&lt;D5*(1-2/D7)^(L25),D5*(1-2/D7)^(L25-1)*(2/D7)*L40,(IF(0&gt;(D5*(1-2/D7)^(L25-1))-D8,0,D5*L40*(1-2/D7)^(L25-1)-D8)))))</f>
        <v>0</v>
      </c>
      <c r="M63" s="51">
        <f>IF(D9=1,((D5-D8)/D7)*M40,(IF(D8&lt;D5*(1-2/D7)^(M25),D5*(1-2/D7)^(M25-1)*(2/D7)*M40,(IF(0&gt;(D5*(1-2/D7)^(M25-1))-D8,0,D5*M40*(1-2/D7)^(M25-1)-D8)))))</f>
        <v>0</v>
      </c>
    </row>
    <row r="64" spans="2:13" s="12" customFormat="1" ht="13.5" thickBot="1">
      <c r="B64" s="33" t="s">
        <v>40</v>
      </c>
      <c r="C64" s="52">
        <f>D5</f>
        <v>50000</v>
      </c>
      <c r="D64" s="52">
        <f>D62-D63</f>
        <v>40000</v>
      </c>
      <c r="E64" s="52">
        <f aca="true" t="shared" si="10" ref="E64:M64">E62-E63</f>
        <v>32000</v>
      </c>
      <c r="F64" s="52">
        <f t="shared" si="10"/>
        <v>25600</v>
      </c>
      <c r="G64" s="52">
        <f t="shared" si="10"/>
        <v>20480</v>
      </c>
      <c r="H64" s="52">
        <f t="shared" si="10"/>
        <v>16383.999999999996</v>
      </c>
      <c r="I64" s="52">
        <f t="shared" si="10"/>
        <v>13107.199999999993</v>
      </c>
      <c r="J64" s="52">
        <f t="shared" si="10"/>
        <v>10485.759999999991</v>
      </c>
      <c r="K64" s="52">
        <f t="shared" si="10"/>
        <v>9999.999999999984</v>
      </c>
      <c r="L64" s="52">
        <f t="shared" si="10"/>
        <v>9999.999999999984</v>
      </c>
      <c r="M64" s="53">
        <f t="shared" si="10"/>
        <v>9999.999999999984</v>
      </c>
    </row>
    <row r="65" s="12" customFormat="1" ht="12.75"/>
    <row r="66" spans="2:14" s="3" customFormat="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s="3" customFormat="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s="3" customFormat="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1">
    <mergeCell ref="B1:M1"/>
  </mergeCells>
  <printOptions/>
  <pageMargins left="0.75" right="0.75" top="1" bottom="1" header="0.5" footer="0.5"/>
  <pageSetup firstPageNumber="5" useFirstPageNumber="1" horizontalDpi="600" verticalDpi="600" orientation="landscape" copies="0" r:id="rId2"/>
  <headerFooter alignWithMargins="0">
    <oddHeader>&amp;C&amp;"Times"&amp;12CAPITAL BUDGETING WORKSHEET&amp;R&amp;P</oddHeader>
  </headerFooter>
  <rowBreaks count="2" manualBreakCount="2">
    <brk id="20" max="16383" man="1"/>
    <brk id="6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 Employee</dc:creator>
  <cp:keywords/>
  <dc:description/>
  <cp:lastModifiedBy>Devang</cp:lastModifiedBy>
  <dcterms:created xsi:type="dcterms:W3CDTF">2000-11-15T22:33:24Z</dcterms:created>
  <dcterms:modified xsi:type="dcterms:W3CDTF">2016-09-30T18:46:23Z</dcterms:modified>
  <cp:category/>
  <cp:version/>
  <cp:contentType/>
  <cp:contentStatus/>
</cp:coreProperties>
</file>