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7415" windowHeight="12300" firstSheet="2" activeTab="3"/>
  </bookViews>
  <sheets>
    <sheet name="Read me first" sheetId="1" r:id="rId1"/>
    <sheet name="Inputs" sheetId="2" r:id="rId2"/>
    <sheet name="Normalized Earnings" sheetId="3" r:id="rId3"/>
    <sheet name="valuation" sheetId="4" r:id="rId4"/>
    <sheet name="Industry averag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Aswath Damodaran</author>
  </authors>
  <commentList>
    <comment ref="B3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The beta in stable growth should be between 0.8 and 1.2. If this is different from your high growth beta, I will adjust the cost of equity gradually over the last half of the high growth period.</t>
        </r>
      </text>
    </comment>
    <comment ref="B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Current net income of the firm should be entered here. If it is negative, you will have to normalize the earnings.</t>
        </r>
      </text>
    </comment>
    <comment ref="B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This is the book value of common equity. If you have more than one class of shares, enter the book value of all classes of common stock.</t>
        </r>
      </text>
    </comment>
    <comment ref="C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book value of equity from the end of last year. If you do not have this number, enter this year's number here as well.</t>
        </r>
      </text>
    </comment>
    <comment ref="B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earnings per share of the class of stock that you want to value, from the most recent period.</t>
        </r>
      </text>
    </comment>
    <comment ref="B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dividends per share in the most recent period for the class of stock that you want to value. (this can be zero)</t>
        </r>
      </text>
    </comment>
    <comment ref="B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have negative earnings or if your firm had an abnormal year, you can normalize. If you choose this option, go into the normalized earnings worksheet and select your options.</t>
        </r>
      </text>
    </comment>
    <comment ref="B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This is the beta for your stock. It can be a regression beta or a bottom-up beta.</t>
        </r>
      </text>
    </comment>
    <comment ref="B1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current long term government bond rate.</t>
        </r>
      </text>
    </comment>
    <comment ref="B11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risk premium to use to compute your cost of equity.</t>
        </r>
      </text>
    </comment>
    <comment ref="B4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As a default, I have set this equal to the high growth premium. You can change it, if you want.</t>
        </r>
      </text>
    </comment>
    <comment ref="B1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Number of years of high growth. (Restricted to 15 years or less)</t>
        </r>
      </text>
    </comment>
    <comment ref="B1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answer "yes",
g = Retention ratio * ROE
If no, you have to input the growth rate.</t>
        </r>
      </text>
    </comment>
    <comment ref="B17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Input a growth rate to use for high growth period. This can be an analyst estimate of growth in EPS or historical growth in EPS.</t>
        </r>
      </text>
    </comment>
    <comment ref="B1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DO NOT INPUT. This number is calculated based upon your inputs above.</t>
        </r>
      </text>
    </comment>
    <comment ref="B2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DO NOT INPUT. This number is calculated based upon your inputs above.</t>
        </r>
      </text>
    </comment>
    <comment ref="B21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believe that the fundamentals for your firm in the future will be different from the base year numbers above, answer yes.</t>
        </r>
      </text>
    </comment>
    <comment ref="B2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return on equity to use for the high growth period. This can be an industry average or your firm's historical ROE.</t>
        </r>
      </text>
    </comment>
    <comment ref="B2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retention ratio to use for the high growth period. This can be an industry average or your firm's historical retention ratio.</t>
        </r>
      </text>
    </comment>
    <comment ref="B2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In stable growth, your fundamentals may change. This is your chance to reset them.</t>
        </r>
      </text>
    </comment>
    <comment ref="B27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return on equity to use for the stable growth period. Check industry averages.</t>
        </r>
      </text>
    </comment>
    <comment ref="B2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want to me adjust the beta, payout ratio and growth rate gradually towards stable growth levels in the second half of your high growth phase, answer yes.</t>
        </r>
      </text>
    </comment>
    <comment ref="B3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a growth rate that can be sustained forever. It cannot be greater than the growth rate of the economy.</t>
        </r>
      </text>
    </comment>
    <comment ref="B3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DO NOT INPUT. This number is computed based upon your stable growth rate and ROE.</t>
        </r>
      </text>
    </comment>
    <comment ref="B3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feel the stable payout ratio is inappropriate, you can change it here. You might be better off adjusting the ROE in stable growth instead, though.</t>
        </r>
      </text>
    </comment>
    <comment ref="B3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Enter the payout ratio in stable growth, if you want to override the fundamentals.</t>
        </r>
      </text>
    </comment>
    <comment ref="B38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Generally, stable growth beta should be between 0.8 and 1.20. If your firm's beta is higher or lower, you should answer yes.</t>
        </r>
      </text>
    </comment>
  </commentList>
</comments>
</file>

<file path=xl/comments3.xml><?xml version="1.0" encoding="utf-8"?>
<comments xmlns="http://schemas.openxmlformats.org/spreadsheetml/2006/main">
  <authors>
    <author>Aswath Damodaran</author>
  </authors>
  <commentList>
    <comment ref="B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1: Average net income over last 5 years
2: Normalized ROE</t>
        </r>
      </text>
    </comment>
    <comment ref="B8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You can either use an average return on equity for this firm from past years or an industry average.</t>
        </r>
      </text>
    </comment>
  </commentList>
</comments>
</file>

<file path=xl/sharedStrings.xml><?xml version="1.0" encoding="utf-8"?>
<sst xmlns="http://schemas.openxmlformats.org/spreadsheetml/2006/main" count="321" uniqueCount="226">
  <si>
    <t>Length of high growth period</t>
  </si>
  <si>
    <t>Inputs needed</t>
  </si>
  <si>
    <t>How the model works</t>
  </si>
  <si>
    <t>ROE</t>
  </si>
  <si>
    <t>Advertising</t>
  </si>
  <si>
    <t>Aerospace/Defense</t>
  </si>
  <si>
    <t>Air Transport</t>
  </si>
  <si>
    <t>Apparel</t>
  </si>
  <si>
    <t>Auto &amp; Truck</t>
  </si>
  <si>
    <t>Auto Parts</t>
  </si>
  <si>
    <t>Bank</t>
  </si>
  <si>
    <t>Bank (Canadian)</t>
  </si>
  <si>
    <t>Bank (Midwest)</t>
  </si>
  <si>
    <t>Biotechnology</t>
  </si>
  <si>
    <t>Building Materials</t>
  </si>
  <si>
    <t>Cable TV</t>
  </si>
  <si>
    <t>NA</t>
  </si>
  <si>
    <t>Canadian Energy</t>
  </si>
  <si>
    <t>Chemical (Basic)</t>
  </si>
  <si>
    <t>Chemical (Diversified)</t>
  </si>
  <si>
    <t>Chemical (Specialty)</t>
  </si>
  <si>
    <t>Coal</t>
  </si>
  <si>
    <t>Diversified Co.</t>
  </si>
  <si>
    <t>Drug</t>
  </si>
  <si>
    <t>E-Commerce</t>
  </si>
  <si>
    <t>Educational Services</t>
  </si>
  <si>
    <t>Electric Util. (Central)</t>
  </si>
  <si>
    <t>Electric Utility (East)</t>
  </si>
  <si>
    <t>Levered Beta</t>
  </si>
  <si>
    <t>Unlevered Beta</t>
  </si>
  <si>
    <t>Precious Metals</t>
  </si>
  <si>
    <t>2. The growth rate will drop at the end of the first period to the stable growth rate.</t>
  </si>
  <si>
    <t>3. The dividend payout ratio is consistent with the expected growth rate.</t>
  </si>
  <si>
    <t>1. Length of high growth period</t>
  </si>
  <si>
    <t>2. Expected growth rate in earnings during the high growth period.</t>
  </si>
  <si>
    <t>Office Equip/Supplies</t>
  </si>
  <si>
    <t>Oilfield Svcs/Equip.</t>
  </si>
  <si>
    <t>Paper/Forest Products</t>
  </si>
  <si>
    <t>Semiconductor Equip</t>
  </si>
  <si>
    <t>Public/Private Equity</t>
  </si>
  <si>
    <t>Funeral Services</t>
  </si>
  <si>
    <t>3. Dividend payout ratio during the high growth period.</t>
  </si>
  <si>
    <t>4. Expected growth rate in earnings during the stable growth period.</t>
  </si>
  <si>
    <t>5. Expected payout ratio during the stable growth period.</t>
  </si>
  <si>
    <t>6. Current Earnings per share</t>
  </si>
  <si>
    <t>7. Inputs for the Cost of Equity</t>
  </si>
  <si>
    <t>Current Earnings per share =</t>
  </si>
  <si>
    <t>(in currency)</t>
  </si>
  <si>
    <t>Current Dividends per share =</t>
  </si>
  <si>
    <t>No</t>
  </si>
  <si>
    <t>(Yes or No)</t>
  </si>
  <si>
    <t>(in percent)</t>
  </si>
  <si>
    <t>Beta of the stock =</t>
  </si>
  <si>
    <t>Riskfree rate=</t>
  </si>
  <si>
    <t>Risk Premium=</t>
  </si>
  <si>
    <t>Yes</t>
  </si>
  <si>
    <t>Do you want to calculate the growth rate from fundamentals?</t>
  </si>
  <si>
    <t>Newspaper</t>
  </si>
  <si>
    <t>Packaging &amp; Container</t>
  </si>
  <si>
    <t>Petroleum (Integrated)</t>
  </si>
  <si>
    <t>Petroleum (Producing)</t>
  </si>
  <si>
    <t>Pharmacy Services</t>
  </si>
  <si>
    <t>Power</t>
  </si>
  <si>
    <t>Precision Instrument</t>
  </si>
  <si>
    <t>Publishing</t>
  </si>
  <si>
    <t>R.E.I.T.</t>
  </si>
  <si>
    <t>Railroad</t>
  </si>
  <si>
    <t>Recreation</t>
  </si>
  <si>
    <t>Restaurant</t>
  </si>
  <si>
    <t>Retail (Special Lines)</t>
  </si>
  <si>
    <t>Retail Building Supply</t>
  </si>
  <si>
    <t>ROC</t>
  </si>
  <si>
    <t>Effective Tax Rate</t>
  </si>
  <si>
    <t>Pre-tax Operating Margin</t>
  </si>
  <si>
    <t>After-tax Operating Margin</t>
  </si>
  <si>
    <t>Net Margin</t>
  </si>
  <si>
    <t>Cap Ex/ Depreciation</t>
  </si>
  <si>
    <t>Non-cash WC/ Revenues</t>
  </si>
  <si>
    <t>Reinvestment Rate</t>
  </si>
  <si>
    <t>Sales/Capital</t>
  </si>
  <si>
    <t>EV/Sales</t>
  </si>
  <si>
    <t>If yes, enter the beta for stable period =</t>
  </si>
  <si>
    <t>Securities Brokerage</t>
  </si>
  <si>
    <t>Semiconductor</t>
  </si>
  <si>
    <t>Shoe</t>
  </si>
  <si>
    <t>Steel (General)</t>
  </si>
  <si>
    <t>Steel (Integrated)</t>
  </si>
  <si>
    <t>Telecom. Equipment</t>
  </si>
  <si>
    <t>Telecom. Services</t>
  </si>
  <si>
    <t>Thrift</t>
  </si>
  <si>
    <t>Tobacco</t>
  </si>
  <si>
    <t>Toiletries/Cosmetics</t>
  </si>
  <si>
    <t>Water Utility</t>
  </si>
  <si>
    <t>Wireless Networking</t>
  </si>
  <si>
    <t>Market</t>
  </si>
  <si>
    <t>Growth Rate in Stable Phase =</t>
  </si>
  <si>
    <t>Payout Ratio in Stable Phase =</t>
  </si>
  <si>
    <t>Cost of Equity in Stable Phase =</t>
  </si>
  <si>
    <t>Price at the end of growth phase =</t>
  </si>
  <si>
    <t>Present Value of dividends in high growth phase =</t>
  </si>
  <si>
    <t>Present Value of Terminal Price =</t>
  </si>
  <si>
    <t>Value of the stock =</t>
  </si>
  <si>
    <t>Estimating the value of growth</t>
  </si>
  <si>
    <t>Value of assets in place =</t>
  </si>
  <si>
    <t>Value of stable growth =</t>
  </si>
  <si>
    <t>Value of extraordinary growth =</t>
  </si>
  <si>
    <t>Last year</t>
  </si>
  <si>
    <t>Inputs from current financials</t>
  </si>
  <si>
    <t>Inputs for Discount Rate</t>
  </si>
  <si>
    <t>in stable growth, the payout ratio in stable growth and the cost of equity in stable</t>
  </si>
  <si>
    <t>Options Available</t>
  </si>
  <si>
    <t>If yes, enter the stable payout ratio=</t>
  </si>
  <si>
    <t>Will the beta to change in the stable period?</t>
  </si>
  <si>
    <t>Std Dev: Equity</t>
  </si>
  <si>
    <t>Retail Automotive</t>
  </si>
  <si>
    <t>Manuf. Housing/RV</t>
  </si>
  <si>
    <t>Natural Gas (Div.)</t>
  </si>
  <si>
    <t>Inputs for High Growth Period</t>
  </si>
  <si>
    <t>You can make this model into a three stage model by answering yes to the question</t>
  </si>
  <si>
    <t>of whether you want me to adjust the inputs in the second half of the high growth</t>
  </si>
  <si>
    <t xml:space="preserve">period. If you do, I will adjust the growth rate, the payout ratio and the cost of </t>
  </si>
  <si>
    <t>equity from high-growth levels to stable growth levels gradually.</t>
  </si>
  <si>
    <t>You can also make this a stable growth model by setting the high</t>
  </si>
  <si>
    <t>growth period to zero.</t>
  </si>
  <si>
    <t>Dividend Discount Model</t>
  </si>
  <si>
    <t>Enter the risk premium to use in stable period =</t>
  </si>
  <si>
    <t xml:space="preserve">growth. </t>
  </si>
  <si>
    <t>dividends per share one year after the high growth period, using the growth rate</t>
  </si>
  <si>
    <t>The dividends per share and the terminal price are discounted back to the present at</t>
  </si>
  <si>
    <t>Electric Utility (West)</t>
  </si>
  <si>
    <t>Electrical Equipment</t>
  </si>
  <si>
    <t>Electronics</t>
  </si>
  <si>
    <t>Entertainment</t>
  </si>
  <si>
    <t>Entertainment Tech</t>
  </si>
  <si>
    <t>Environmental</t>
  </si>
  <si>
    <t>Financial Svcs. (Div.)</t>
  </si>
  <si>
    <t>Food Processing</t>
  </si>
  <si>
    <t>Food Wholesalers</t>
  </si>
  <si>
    <t>Grocery</t>
  </si>
  <si>
    <t>Homebuilding</t>
  </si>
  <si>
    <t>Hotel/Gaming</t>
  </si>
  <si>
    <t>Household Products</t>
  </si>
  <si>
    <t>Human Resources</t>
  </si>
  <si>
    <t>Trucking</t>
  </si>
  <si>
    <t>Utility (Foreign)</t>
  </si>
  <si>
    <t>Industrial Services</t>
  </si>
  <si>
    <t>Information Services</t>
  </si>
  <si>
    <t>Insurance (Life)</t>
  </si>
  <si>
    <t>Internet</t>
  </si>
  <si>
    <t>Investment Co.</t>
  </si>
  <si>
    <t>Machinery</t>
  </si>
  <si>
    <t>Maritime</t>
  </si>
  <si>
    <t>Medical Services</t>
  </si>
  <si>
    <t>Medical Supplies</t>
  </si>
  <si>
    <t>Metal Fabricating</t>
  </si>
  <si>
    <t>Metals &amp; Mining (Div.)</t>
  </si>
  <si>
    <t>Expected Growth Rate</t>
  </si>
  <si>
    <t>If no, enter the expected growth rate in earnings in high growth period=</t>
  </si>
  <si>
    <t>Inputs for Stable Growth Period</t>
  </si>
  <si>
    <t>If yes, the following will be the inputs to the fundamental growth formulation:</t>
  </si>
  <si>
    <t>Growth rate in EPS =</t>
  </si>
  <si>
    <t>Dividends per share</t>
  </si>
  <si>
    <t>Earnings per share</t>
  </si>
  <si>
    <t>Cost of Equity</t>
  </si>
  <si>
    <t>Present Value</t>
  </si>
  <si>
    <t>Cumulative Cost of Equity</t>
  </si>
  <si>
    <t>Assumptions</t>
  </si>
  <si>
    <t>1. The firm is expected to grow at a higher growth rate in the first period.</t>
  </si>
  <si>
    <t>the cost of equity changes.</t>
  </si>
  <si>
    <t>If your cost of equity in stable growth is different from your cost of equity in high</t>
  </si>
  <si>
    <t>Stable payout ratio from fundamentals is =</t>
  </si>
  <si>
    <t>Do you want to change this payout ratio?</t>
  </si>
  <si>
    <t>Retail Store</t>
  </si>
  <si>
    <t>growth, the cost of equity in the second half of the stable growth period will be</t>
  </si>
  <si>
    <t xml:space="preserve">adjusted gradually from the high growth cost of equity to a stable growth cost of </t>
  </si>
  <si>
    <t>equity.</t>
  </si>
  <si>
    <t>Net Income  =</t>
  </si>
  <si>
    <t>Do you want to normalize the net income/earnings per share?</t>
  </si>
  <si>
    <t>Approach 1: Average Net Income over last 5 years</t>
  </si>
  <si>
    <t>Approach 2: Normalized return on equity</t>
  </si>
  <si>
    <t>Current</t>
  </si>
  <si>
    <t>Net Income</t>
  </si>
  <si>
    <t>Average</t>
  </si>
  <si>
    <t>Normalized ROE =</t>
  </si>
  <si>
    <t>Choose the approach to normalized earnings</t>
  </si>
  <si>
    <t>Normalized Earnings Calculation</t>
  </si>
  <si>
    <t>Net Income =</t>
  </si>
  <si>
    <t>Earnings per Share =</t>
  </si>
  <si>
    <t>Payout ratio</t>
  </si>
  <si>
    <t>Do you want me to gradually adjust your inputs during the second half?</t>
  </si>
  <si>
    <t>Book Value of Equity =</t>
  </si>
  <si>
    <t>ROE =</t>
  </si>
  <si>
    <t>Retention =</t>
  </si>
  <si>
    <t>Do you want to change any of these inputs for the high growth period?</t>
  </si>
  <si>
    <t>If yes, specify the values for these inputs (Please enter all variables)</t>
  </si>
  <si>
    <t>Do you want to change any of these inputs for the stable growth period?</t>
  </si>
  <si>
    <t xml:space="preserve">If yes, specify the values for these inputs </t>
  </si>
  <si>
    <t>Enter growth rate in stable growth period?</t>
  </si>
  <si>
    <t>Industry Name</t>
  </si>
  <si>
    <t>Beverage</t>
  </si>
  <si>
    <t>Heavy Construction</t>
  </si>
  <si>
    <t>Natural Gas Utility</t>
  </si>
  <si>
    <t>Oil/Gas Distribution</t>
  </si>
  <si>
    <t>Property Management</t>
  </si>
  <si>
    <t>Reinsurance</t>
  </si>
  <si>
    <t>Output from the program</t>
  </si>
  <si>
    <t>Cost of Equity =</t>
  </si>
  <si>
    <t>Payout Ratio for high growth phase=</t>
  </si>
  <si>
    <t>The dividends for the high growth phase are shown below (upto 10 years)</t>
  </si>
  <si>
    <t>The expected dividends are estimated for the high growth period, using the payout</t>
  </si>
  <si>
    <t>ratio for the high growth period and the expected growth rate in earnings per share.</t>
  </si>
  <si>
    <t>The expected growth rate is estimated either using fundamentals:</t>
  </si>
  <si>
    <t>Expected growth = Retention Ratio * Return on Equity</t>
  </si>
  <si>
    <t>Alternatively, you can input the expected growth rate.</t>
  </si>
  <si>
    <t>At the end of the high growth phase, the expected terminal price is estimated using</t>
  </si>
  <si>
    <t>Number of firms</t>
  </si>
  <si>
    <t>Market D/E</t>
  </si>
  <si>
    <t>Market Debt/Capital</t>
  </si>
  <si>
    <t>Payout Ratio</t>
  </si>
  <si>
    <t>Computer Software/Svcs</t>
  </si>
  <si>
    <t>Computers/Peripherals</t>
  </si>
  <si>
    <t>Foreign Electronics</t>
  </si>
  <si>
    <t>Furn/Home Furnishings</t>
  </si>
  <si>
    <t>Healthcare Information</t>
  </si>
  <si>
    <t>Insurance (Prop/Cas.)</t>
  </si>
  <si>
    <t>Investment Co.(Foreign)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</si>
</sst>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0.0%"/>
    <numFmt numFmtId="166" formatCode="0.00000%"/>
    <numFmt numFmtId="167" formatCode="0.0000%"/>
    <numFmt numFmtId="168" formatCode="0.000%"/>
    <numFmt numFmtId="169" formatCode="&quot;$&quot;#,##0.0_);[Red]\(&quot;$&quot;#,##0.0\)"/>
    <numFmt numFmtId="170" formatCode="_(&quot;$&quot;* #,##0_);_(&quot;$&quot;* \(#,##0\);_(&quot;$&quot;* &quot;-&quot;??_);_(@_)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b/>
      <sz val="14"/>
      <name val="Times"/>
      <family val="0"/>
    </font>
    <font>
      <sz val="14"/>
      <name val="Geneva"/>
      <family val="0"/>
    </font>
    <font>
      <sz val="10"/>
      <name val="Times"/>
      <family val="0"/>
    </font>
    <font>
      <i/>
      <sz val="10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sz val="18"/>
      <color indexed="10"/>
      <name val="Times"/>
      <family val="0"/>
    </font>
    <font>
      <b/>
      <sz val="10"/>
      <color indexed="10"/>
      <name val="Times"/>
      <family val="0"/>
    </font>
    <font>
      <sz val="10"/>
      <color indexed="10"/>
      <name val="Geneva"/>
      <family val="0"/>
    </font>
    <font>
      <sz val="10"/>
      <color indexed="10"/>
      <name val="Times"/>
      <family val="0"/>
    </font>
    <font>
      <sz val="8"/>
      <name val="Geneva"/>
      <family val="0"/>
    </font>
    <font>
      <i/>
      <sz val="9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8" fontId="9" fillId="33" borderId="10" xfId="43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8" fontId="9" fillId="33" borderId="10" xfId="0" applyNumberFormat="1" applyFont="1" applyFill="1" applyBorder="1" applyAlignment="1">
      <alignment horizontal="center"/>
    </xf>
    <xf numFmtId="8" fontId="9" fillId="33" borderId="10" xfId="43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9" fillId="34" borderId="10" xfId="55" applyNumberFormat="1" applyFont="1" applyFill="1" applyBorder="1" applyAlignment="1">
      <alignment horizontal="center"/>
    </xf>
    <xf numFmtId="10" fontId="9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8" fontId="11" fillId="34" borderId="10" xfId="43" applyFont="1" applyFill="1" applyBorder="1" applyAlignment="1">
      <alignment horizontal="center"/>
    </xf>
    <xf numFmtId="8" fontId="9" fillId="34" borderId="10" xfId="43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10" fontId="10" fillId="34" borderId="1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9" fillId="33" borderId="10" xfId="0" applyNumberFormat="1" applyFont="1" applyFill="1" applyBorder="1" applyAlignment="1">
      <alignment/>
    </xf>
    <xf numFmtId="6" fontId="9" fillId="34" borderId="10" xfId="43" applyNumberFormat="1" applyFont="1" applyFill="1" applyBorder="1" applyAlignment="1">
      <alignment horizontal="center"/>
    </xf>
    <xf numFmtId="10" fontId="9" fillId="0" borderId="10" xfId="55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center"/>
    </xf>
    <xf numFmtId="8" fontId="18" fillId="34" borderId="10" xfId="43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0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25390625" style="43" bestFit="1" customWidth="1"/>
    <col min="2" max="2" width="48.00390625" style="0" bestFit="1" customWidth="1"/>
    <col min="3" max="16384" width="11.375" style="0" customWidth="1"/>
  </cols>
  <sheetData>
    <row r="1" spans="1:8" ht="19.5" customHeight="1">
      <c r="A1" s="41" t="s">
        <v>124</v>
      </c>
      <c r="B1" s="2"/>
      <c r="C1" s="2"/>
      <c r="D1" s="2"/>
      <c r="E1" s="2"/>
      <c r="F1" s="2"/>
      <c r="G1" s="2"/>
      <c r="H1" s="2"/>
    </row>
    <row r="2" spans="1:2" s="37" customFormat="1" ht="13.5" customHeight="1">
      <c r="A2" s="42" t="s">
        <v>166</v>
      </c>
      <c r="B2" s="11" t="s">
        <v>167</v>
      </c>
    </row>
    <row r="3" spans="1:2" s="12" customFormat="1" ht="13.5" customHeight="1">
      <c r="A3" s="43"/>
      <c r="B3" s="11" t="s">
        <v>31</v>
      </c>
    </row>
    <row r="4" spans="1:2" s="12" customFormat="1" ht="13.5" customHeight="1">
      <c r="A4" s="43"/>
      <c r="B4" s="11" t="s">
        <v>32</v>
      </c>
    </row>
    <row r="5" spans="1:2" s="12" customFormat="1" ht="13.5" customHeight="1">
      <c r="A5" s="42" t="s">
        <v>1</v>
      </c>
      <c r="B5" s="11" t="s">
        <v>33</v>
      </c>
    </row>
    <row r="6" spans="1:2" s="12" customFormat="1" ht="13.5" customHeight="1">
      <c r="A6" s="43"/>
      <c r="B6" s="11" t="s">
        <v>34</v>
      </c>
    </row>
    <row r="7" spans="1:2" s="37" customFormat="1" ht="13.5" customHeight="1">
      <c r="A7" s="42"/>
      <c r="B7" s="11" t="s">
        <v>41</v>
      </c>
    </row>
    <row r="8" spans="1:2" s="12" customFormat="1" ht="13.5" customHeight="1">
      <c r="A8" s="43"/>
      <c r="B8" s="11" t="s">
        <v>42</v>
      </c>
    </row>
    <row r="9" spans="1:2" s="12" customFormat="1" ht="13.5" customHeight="1">
      <c r="A9" s="43"/>
      <c r="B9" s="11" t="s">
        <v>43</v>
      </c>
    </row>
    <row r="10" spans="1:2" s="12" customFormat="1" ht="13.5" customHeight="1">
      <c r="A10" s="43"/>
      <c r="B10" s="11" t="s">
        <v>44</v>
      </c>
    </row>
    <row r="11" spans="1:2" s="12" customFormat="1" ht="13.5" customHeight="1">
      <c r="A11" s="43"/>
      <c r="B11" s="11" t="s">
        <v>45</v>
      </c>
    </row>
    <row r="12" spans="1:2" s="11" customFormat="1" ht="13.5" customHeight="1">
      <c r="A12" s="42" t="s">
        <v>2</v>
      </c>
      <c r="B12" s="11" t="s">
        <v>209</v>
      </c>
    </row>
    <row r="13" spans="1:2" s="11" customFormat="1" ht="13.5" customHeight="1">
      <c r="A13" s="44"/>
      <c r="B13" s="11" t="s">
        <v>210</v>
      </c>
    </row>
    <row r="14" spans="1:2" s="11" customFormat="1" ht="13.5" customHeight="1">
      <c r="A14" s="44"/>
      <c r="B14" s="11" t="s">
        <v>211</v>
      </c>
    </row>
    <row r="15" spans="1:2" s="11" customFormat="1" ht="13.5" customHeight="1">
      <c r="A15" s="44"/>
      <c r="B15" s="11" t="s">
        <v>212</v>
      </c>
    </row>
    <row r="16" spans="1:2" s="11" customFormat="1" ht="13.5" customHeight="1">
      <c r="A16" s="44"/>
      <c r="B16" s="11" t="s">
        <v>213</v>
      </c>
    </row>
    <row r="17" spans="1:2" s="11" customFormat="1" ht="12.75">
      <c r="A17" s="44"/>
      <c r="B17" s="11" t="s">
        <v>214</v>
      </c>
    </row>
    <row r="18" spans="1:2" s="11" customFormat="1" ht="13.5" customHeight="1">
      <c r="A18" s="44"/>
      <c r="B18" s="11" t="s">
        <v>127</v>
      </c>
    </row>
    <row r="19" spans="1:2" s="11" customFormat="1" ht="13.5" customHeight="1">
      <c r="A19" s="44"/>
      <c r="B19" s="11" t="s">
        <v>109</v>
      </c>
    </row>
    <row r="20" spans="1:2" s="11" customFormat="1" ht="13.5" customHeight="1">
      <c r="A20" s="44"/>
      <c r="B20" s="11" t="s">
        <v>126</v>
      </c>
    </row>
    <row r="21" spans="1:2" s="11" customFormat="1" ht="13.5" customHeight="1">
      <c r="A21" s="44"/>
      <c r="B21" s="11" t="s">
        <v>128</v>
      </c>
    </row>
    <row r="22" spans="1:2" s="11" customFormat="1" ht="13.5" customHeight="1">
      <c r="A22" s="44"/>
      <c r="B22" s="11" t="s">
        <v>168</v>
      </c>
    </row>
    <row r="23" spans="1:2" s="11" customFormat="1" ht="13.5" customHeight="1">
      <c r="A23" s="44"/>
      <c r="B23" s="11" t="s">
        <v>169</v>
      </c>
    </row>
    <row r="24" spans="1:2" s="11" customFormat="1" ht="13.5" customHeight="1">
      <c r="A24" s="44"/>
      <c r="B24" s="11" t="s">
        <v>173</v>
      </c>
    </row>
    <row r="25" spans="1:2" s="11" customFormat="1" ht="13.5" customHeight="1">
      <c r="A25" s="44"/>
      <c r="B25" s="11" t="s">
        <v>174</v>
      </c>
    </row>
    <row r="26" spans="1:2" s="11" customFormat="1" ht="13.5" customHeight="1">
      <c r="A26" s="44"/>
      <c r="B26" s="11" t="s">
        <v>175</v>
      </c>
    </row>
    <row r="27" spans="1:2" s="11" customFormat="1" ht="13.5" customHeight="1">
      <c r="A27" s="42" t="s">
        <v>110</v>
      </c>
      <c r="B27" s="11" t="s">
        <v>118</v>
      </c>
    </row>
    <row r="28" spans="1:2" s="11" customFormat="1" ht="13.5" customHeight="1">
      <c r="A28" s="44"/>
      <c r="B28" s="11" t="s">
        <v>119</v>
      </c>
    </row>
    <row r="29" spans="1:2" s="11" customFormat="1" ht="13.5" customHeight="1">
      <c r="A29" s="44"/>
      <c r="B29" s="11" t="s">
        <v>120</v>
      </c>
    </row>
    <row r="30" spans="1:2" ht="12.75">
      <c r="A30" s="44"/>
      <c r="B30" s="11" t="s">
        <v>121</v>
      </c>
    </row>
    <row r="31" spans="1:2" ht="12.75">
      <c r="A31" s="44"/>
      <c r="B31" s="11" t="s">
        <v>122</v>
      </c>
    </row>
    <row r="32" spans="1:2" ht="12.75">
      <c r="A32" s="44"/>
      <c r="B32" s="11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3.875" style="0" bestFit="1" customWidth="1"/>
    <col min="2" max="16384" width="11.375" style="0" customWidth="1"/>
  </cols>
  <sheetData>
    <row r="1" s="4" customFormat="1" ht="15.75">
      <c r="A1" s="4" t="s">
        <v>107</v>
      </c>
    </row>
    <row r="2" spans="1:5" ht="12.75">
      <c r="A2" s="11" t="s">
        <v>176</v>
      </c>
      <c r="B2" s="19">
        <v>1500</v>
      </c>
      <c r="C2" s="11" t="s">
        <v>106</v>
      </c>
      <c r="D2" s="13" t="s">
        <v>47</v>
      </c>
      <c r="E2" s="11"/>
    </row>
    <row r="3" spans="1:5" ht="12.75">
      <c r="A3" s="11" t="s">
        <v>190</v>
      </c>
      <c r="B3" s="19">
        <v>6237</v>
      </c>
      <c r="C3" s="20">
        <v>6155</v>
      </c>
      <c r="D3" s="13" t="s">
        <v>47</v>
      </c>
      <c r="E3" s="11"/>
    </row>
    <row r="4" spans="1:3" s="11" customFormat="1" ht="13.5" customHeight="1">
      <c r="A4" s="11" t="s">
        <v>46</v>
      </c>
      <c r="B4" s="14">
        <v>2.6</v>
      </c>
      <c r="C4" s="13" t="s">
        <v>47</v>
      </c>
    </row>
    <row r="5" spans="1:3" s="11" customFormat="1" ht="13.5" customHeight="1">
      <c r="A5" s="11" t="s">
        <v>48</v>
      </c>
      <c r="B5" s="14">
        <v>1.1</v>
      </c>
      <c r="C5" s="13" t="s">
        <v>47</v>
      </c>
    </row>
    <row r="6" spans="1:3" s="11" customFormat="1" ht="13.5" customHeight="1">
      <c r="A6" s="11" t="s">
        <v>177</v>
      </c>
      <c r="B6" s="14" t="s">
        <v>55</v>
      </c>
      <c r="C6" s="13"/>
    </row>
    <row r="7" spans="1:5" ht="12.75">
      <c r="A7" s="11"/>
      <c r="B7" s="11"/>
      <c r="C7" s="13"/>
      <c r="D7" s="11"/>
      <c r="E7" s="11"/>
    </row>
    <row r="8" spans="1:5" ht="12.75">
      <c r="A8" s="16" t="s">
        <v>108</v>
      </c>
      <c r="B8" s="11"/>
      <c r="C8" s="11"/>
      <c r="D8" s="13"/>
      <c r="E8" s="11"/>
    </row>
    <row r="9" spans="1:5" ht="12.75">
      <c r="A9" s="11" t="s">
        <v>52</v>
      </c>
      <c r="B9" s="17">
        <v>0.95</v>
      </c>
      <c r="C9" s="11"/>
      <c r="D9" s="13"/>
      <c r="E9" s="11"/>
    </row>
    <row r="10" spans="1:5" ht="12.75">
      <c r="A10" s="11" t="s">
        <v>53</v>
      </c>
      <c r="B10" s="15">
        <v>0.07</v>
      </c>
      <c r="C10" s="13" t="s">
        <v>51</v>
      </c>
      <c r="D10" s="13"/>
      <c r="E10" s="11"/>
    </row>
    <row r="11" spans="1:5" ht="12.75">
      <c r="A11" s="11" t="s">
        <v>54</v>
      </c>
      <c r="B11" s="15">
        <v>0.055</v>
      </c>
      <c r="C11" s="13" t="s">
        <v>51</v>
      </c>
      <c r="D11" s="13"/>
      <c r="E11" s="11"/>
    </row>
    <row r="12" spans="1:5" ht="12.75">
      <c r="A12" s="11"/>
      <c r="B12" s="11"/>
      <c r="C12" s="11"/>
      <c r="D12" s="13"/>
      <c r="E12" s="11"/>
    </row>
    <row r="13" spans="1:5" ht="12.75">
      <c r="A13" s="24" t="s">
        <v>117</v>
      </c>
      <c r="B13" s="11"/>
      <c r="C13" s="11"/>
      <c r="D13" s="13"/>
      <c r="E13" s="11"/>
    </row>
    <row r="14" spans="1:5" ht="12.75">
      <c r="A14" s="11" t="s">
        <v>0</v>
      </c>
      <c r="B14" s="18">
        <v>10</v>
      </c>
      <c r="C14" s="11"/>
      <c r="D14" s="13"/>
      <c r="E14" s="11"/>
    </row>
    <row r="15" spans="1:6" ht="12.75">
      <c r="A15" s="11"/>
      <c r="B15" s="11"/>
      <c r="C15" s="11"/>
      <c r="D15" s="11"/>
      <c r="E15" s="13"/>
      <c r="F15" s="11"/>
    </row>
    <row r="16" spans="1:3" ht="12.75">
      <c r="A16" s="11" t="s">
        <v>56</v>
      </c>
      <c r="B16" s="18" t="s">
        <v>55</v>
      </c>
      <c r="C16" s="13" t="s">
        <v>50</v>
      </c>
    </row>
    <row r="17" spans="1:3" ht="12.75">
      <c r="A17" s="11" t="s">
        <v>157</v>
      </c>
      <c r="B17" s="18"/>
      <c r="C17" s="13"/>
    </row>
    <row r="18" spans="1:6" ht="12.75">
      <c r="A18" s="16" t="s">
        <v>159</v>
      </c>
      <c r="B18" s="11"/>
      <c r="C18" s="11"/>
      <c r="D18" s="11"/>
      <c r="E18" s="13"/>
      <c r="F18" s="11"/>
    </row>
    <row r="19" spans="1:6" ht="12.75">
      <c r="A19" s="11" t="s">
        <v>191</v>
      </c>
      <c r="B19" s="26">
        <f>IF(B6="No",B2/C3,IF('Normalized Earnings'!B2=1,'Normalized Earnings'!G5/C3,'Normalized Earnings'!B8))</f>
        <v>0.3290333062550772</v>
      </c>
      <c r="C19" s="13" t="s">
        <v>51</v>
      </c>
      <c r="D19" s="12"/>
      <c r="E19" s="12"/>
      <c r="F19" s="11"/>
    </row>
    <row r="20" spans="1:6" ht="12.75">
      <c r="A20" s="11" t="s">
        <v>192</v>
      </c>
      <c r="B20" s="26">
        <f>1-B5/B4</f>
        <v>0.5769230769230769</v>
      </c>
      <c r="C20" s="13" t="s">
        <v>51</v>
      </c>
      <c r="D20" s="12"/>
      <c r="E20" s="12"/>
      <c r="F20" s="11"/>
    </row>
    <row r="21" spans="1:2" ht="12.75">
      <c r="A21" s="11" t="s">
        <v>193</v>
      </c>
      <c r="B21" s="18" t="s">
        <v>55</v>
      </c>
    </row>
    <row r="22" spans="1:6" ht="12.75">
      <c r="A22" s="16" t="s">
        <v>194</v>
      </c>
      <c r="B22" s="11"/>
      <c r="C22" s="11"/>
      <c r="D22" s="11"/>
      <c r="E22" s="13"/>
      <c r="F22" s="11"/>
    </row>
    <row r="23" spans="1:6" ht="12.75">
      <c r="A23" s="11" t="s">
        <v>191</v>
      </c>
      <c r="B23" s="15">
        <v>0.3</v>
      </c>
      <c r="C23" s="13" t="s">
        <v>51</v>
      </c>
      <c r="D23" s="11"/>
      <c r="E23" s="12"/>
      <c r="F23" s="12"/>
    </row>
    <row r="24" spans="1:6" ht="12.75">
      <c r="A24" s="11" t="s">
        <v>192</v>
      </c>
      <c r="B24" s="15">
        <f>B20</f>
        <v>0.5769230769230769</v>
      </c>
      <c r="C24" s="13" t="s">
        <v>51</v>
      </c>
      <c r="D24" s="11"/>
      <c r="E24" s="12"/>
      <c r="F24" s="12"/>
    </row>
    <row r="25" spans="1:2" ht="12.75">
      <c r="A25" s="11" t="s">
        <v>195</v>
      </c>
      <c r="B25" s="18" t="s">
        <v>49</v>
      </c>
    </row>
    <row r="26" spans="1:6" ht="12.75">
      <c r="A26" s="16" t="s">
        <v>196</v>
      </c>
      <c r="B26" s="13"/>
      <c r="C26" s="11"/>
      <c r="D26" s="13"/>
      <c r="E26" s="13"/>
      <c r="F26" s="11"/>
    </row>
    <row r="27" spans="1:6" ht="12.75">
      <c r="A27" s="11" t="s">
        <v>191</v>
      </c>
      <c r="B27" s="15">
        <v>0.25</v>
      </c>
      <c r="C27" s="13" t="s">
        <v>51</v>
      </c>
      <c r="D27" s="11"/>
      <c r="E27" s="12"/>
      <c r="F27" s="12"/>
    </row>
    <row r="28" spans="1:6" ht="12.75">
      <c r="A28" s="11"/>
      <c r="B28" s="36"/>
      <c r="C28" s="13"/>
      <c r="D28" s="11"/>
      <c r="E28" s="12"/>
      <c r="F28" s="12"/>
    </row>
    <row r="29" spans="1:6" ht="12.75">
      <c r="A29" s="11" t="s">
        <v>189</v>
      </c>
      <c r="B29" s="15" t="s">
        <v>55</v>
      </c>
      <c r="C29" s="13"/>
      <c r="D29" s="11"/>
      <c r="E29" s="12"/>
      <c r="F29" s="12"/>
    </row>
    <row r="30" spans="1:6" ht="12.75">
      <c r="A30" s="11"/>
      <c r="B30" s="36"/>
      <c r="C30" s="13"/>
      <c r="D30" s="11"/>
      <c r="E30" s="12"/>
      <c r="F30" s="12"/>
    </row>
    <row r="31" spans="1:5" ht="12.75">
      <c r="A31" s="24" t="s">
        <v>158</v>
      </c>
      <c r="B31" s="11"/>
      <c r="C31" s="11"/>
      <c r="D31" s="13"/>
      <c r="E31" s="11"/>
    </row>
    <row r="32" spans="1:4" ht="12.75">
      <c r="A32" s="11" t="s">
        <v>197</v>
      </c>
      <c r="B32" s="15">
        <v>0.06</v>
      </c>
      <c r="C32" s="13" t="s">
        <v>51</v>
      </c>
      <c r="D32" s="11"/>
    </row>
    <row r="33" spans="1:4" ht="12.75">
      <c r="A33" s="11"/>
      <c r="B33" s="21"/>
      <c r="C33" s="13"/>
      <c r="D33" s="11"/>
    </row>
    <row r="34" spans="1:4" ht="12.75">
      <c r="A34" s="11" t="s">
        <v>170</v>
      </c>
      <c r="B34" s="25">
        <f>IF(B25="Yes",1-B32/B27,IF(B21="Yes",1-B32/B23,1-B32/B19))</f>
        <v>0.8</v>
      </c>
      <c r="C34" s="13" t="s">
        <v>51</v>
      </c>
      <c r="D34" s="11"/>
    </row>
    <row r="35" spans="1:4" ht="12.75">
      <c r="A35" s="11" t="s">
        <v>171</v>
      </c>
      <c r="B35" s="18" t="s">
        <v>49</v>
      </c>
      <c r="C35" s="13" t="s">
        <v>50</v>
      </c>
      <c r="D35" s="11"/>
    </row>
    <row r="36" spans="1:4" ht="12.75">
      <c r="A36" s="11" t="s">
        <v>111</v>
      </c>
      <c r="B36" s="15"/>
      <c r="C36" s="13" t="s">
        <v>51</v>
      </c>
      <c r="D36" s="11"/>
    </row>
    <row r="37" spans="1:4" ht="12.75">
      <c r="A37" s="11"/>
      <c r="B37" s="22"/>
      <c r="C37" s="13"/>
      <c r="D37" s="11"/>
    </row>
    <row r="38" spans="1:4" ht="12.75">
      <c r="A38" s="11" t="s">
        <v>112</v>
      </c>
      <c r="B38" s="18" t="s">
        <v>55</v>
      </c>
      <c r="C38" s="13" t="s">
        <v>50</v>
      </c>
      <c r="D38" s="11"/>
    </row>
    <row r="39" spans="1:4" ht="12.75">
      <c r="A39" s="11" t="s">
        <v>81</v>
      </c>
      <c r="B39" s="45">
        <v>0.8</v>
      </c>
      <c r="C39" s="13"/>
      <c r="D39" s="11"/>
    </row>
    <row r="40" spans="1:2" s="11" customFormat="1" ht="12.75">
      <c r="A40" s="11" t="s">
        <v>125</v>
      </c>
      <c r="B40" s="15">
        <f>B11</f>
        <v>0.055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5.375" style="0" bestFit="1" customWidth="1"/>
    <col min="2" max="16384" width="11.375" style="0" customWidth="1"/>
  </cols>
  <sheetData>
    <row r="1" spans="1:10" s="5" customFormat="1" ht="15.75">
      <c r="A1" s="58" t="s">
        <v>185</v>
      </c>
      <c r="B1" s="58"/>
      <c r="C1" s="58"/>
      <c r="D1" s="58"/>
      <c r="E1" s="58"/>
      <c r="F1" s="58"/>
      <c r="G1" s="58"/>
      <c r="H1" s="58"/>
      <c r="I1" s="58"/>
      <c r="J1" s="58"/>
    </row>
    <row r="2" spans="1:2" s="11" customFormat="1" ht="12.75">
      <c r="A2" s="11" t="s">
        <v>184</v>
      </c>
      <c r="B2" s="18">
        <v>1</v>
      </c>
    </row>
    <row r="3" s="11" customFormat="1" ht="12.75">
      <c r="A3" s="11" t="s">
        <v>178</v>
      </c>
    </row>
    <row r="4" spans="2:7" s="11" customFormat="1" ht="12.75">
      <c r="B4" s="30">
        <v>-5</v>
      </c>
      <c r="C4" s="30">
        <v>-4</v>
      </c>
      <c r="D4" s="30">
        <v>-3</v>
      </c>
      <c r="E4" s="30">
        <v>-2</v>
      </c>
      <c r="F4" s="30" t="s">
        <v>180</v>
      </c>
      <c r="G4" s="30" t="s">
        <v>182</v>
      </c>
    </row>
    <row r="5" spans="1:7" s="11" customFormat="1" ht="12.75">
      <c r="A5" s="11" t="s">
        <v>181</v>
      </c>
      <c r="B5" s="14">
        <v>1662</v>
      </c>
      <c r="C5" s="14">
        <v>2533</v>
      </c>
      <c r="D5" s="14">
        <v>1876</v>
      </c>
      <c r="E5" s="14">
        <v>1933</v>
      </c>
      <c r="F5" s="14">
        <v>2122</v>
      </c>
      <c r="G5" s="33">
        <f>AVERAGE(B5:F5)</f>
        <v>2025.2</v>
      </c>
    </row>
    <row r="6" s="11" customFormat="1" ht="12.75"/>
    <row r="7" s="11" customFormat="1" ht="12.75">
      <c r="A7" s="11" t="s">
        <v>179</v>
      </c>
    </row>
    <row r="8" spans="1:2" s="11" customFormat="1" ht="12.75">
      <c r="A8" s="11" t="s">
        <v>183</v>
      </c>
      <c r="B8" s="38">
        <v>0.22</v>
      </c>
    </row>
    <row r="9" s="11" customFormat="1" ht="12.75"/>
  </sheetData>
  <sheetProtection/>
  <mergeCells count="1">
    <mergeCell ref="A1:J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showGridLines="0" tabSelected="1" zoomScalePageLayoutView="0" workbookViewId="0" topLeftCell="A1">
      <selection activeCell="E26" sqref="E26"/>
    </sheetView>
  </sheetViews>
  <sheetFormatPr defaultColWidth="12.375" defaultRowHeight="12.75"/>
  <cols>
    <col min="1" max="1" width="2.75390625" style="0" customWidth="1"/>
    <col min="2" max="2" width="16.625" style="0" customWidth="1"/>
  </cols>
  <sheetData>
    <row r="1" ht="19.5" customHeight="1"/>
    <row r="2" spans="1:9" ht="19.5" customHeight="1">
      <c r="A2" s="9"/>
      <c r="B2" s="8" t="s">
        <v>205</v>
      </c>
      <c r="C2" s="3"/>
      <c r="D2" s="3"/>
      <c r="E2" s="3"/>
      <c r="F2" s="3"/>
      <c r="G2" s="3"/>
      <c r="H2" s="9"/>
      <c r="I2" s="9"/>
    </row>
    <row r="3" spans="2:7" ht="19.5" customHeight="1">
      <c r="B3" s="11" t="s">
        <v>206</v>
      </c>
      <c r="C3" s="11"/>
      <c r="D3" s="26">
        <f>Inputs!B10+Inputs!B9*Inputs!B11</f>
        <v>0.12225</v>
      </c>
      <c r="E3" s="13"/>
      <c r="F3" s="13"/>
      <c r="G3" s="11"/>
    </row>
    <row r="4" spans="2:7" ht="19.5" customHeight="1">
      <c r="B4" s="11" t="s">
        <v>186</v>
      </c>
      <c r="C4" s="11"/>
      <c r="D4" s="39">
        <f>IF(Inputs!B6="No",Inputs!B2,IF('Normalized Earnings'!B2=1,'Normalized Earnings'!G5,'Normalized Earnings'!B8*Inputs!C3))</f>
        <v>2025.2</v>
      </c>
      <c r="E4" s="13"/>
      <c r="F4" s="13"/>
      <c r="G4" s="11"/>
    </row>
    <row r="5" spans="2:7" ht="19.5" customHeight="1">
      <c r="B5" s="11" t="s">
        <v>187</v>
      </c>
      <c r="C5" s="11"/>
      <c r="D5" s="33">
        <f>IF(Inputs!B6="No",Inputs!B4,IF('Normalized Earnings'!B2=1,('Normalized Earnings'!G5/Inputs!B2)*Inputs!B4,(('Normalized Earnings'!B8*Inputs!C3)/Inputs!B2)*Inputs!B4))</f>
        <v>3.510346666666667</v>
      </c>
      <c r="E5" s="13"/>
      <c r="F5" s="13"/>
      <c r="G5" s="11"/>
    </row>
    <row r="6" spans="2:7" s="7" customFormat="1" ht="19.5" customHeight="1">
      <c r="B6" s="11" t="s">
        <v>160</v>
      </c>
      <c r="C6" s="16"/>
      <c r="D6" s="35">
        <f>IF(Inputs!B16="Yes",IF(Inputs!B21="Yes",Inputs!B23*Inputs!B24,Inputs!B19*Inputs!B20),Inputs!B17)</f>
        <v>0.17307692307692304</v>
      </c>
      <c r="E6" s="27"/>
      <c r="F6" s="27"/>
      <c r="G6" s="16"/>
    </row>
    <row r="7" spans="2:6" ht="19.5" customHeight="1">
      <c r="B7" s="11" t="s">
        <v>207</v>
      </c>
      <c r="C7" s="11"/>
      <c r="D7" s="26">
        <f>IF(Inputs!B21="Yes",1-Inputs!B24,1-Inputs!B20)</f>
        <v>0.42307692307692313</v>
      </c>
      <c r="E7" s="13"/>
      <c r="F7" s="11"/>
    </row>
    <row r="8" spans="2:7" ht="19.5" customHeight="1">
      <c r="B8" s="11"/>
      <c r="C8" s="11"/>
      <c r="D8" s="11"/>
      <c r="E8" s="28"/>
      <c r="F8" s="13"/>
      <c r="G8" s="11"/>
    </row>
    <row r="9" spans="2:7" ht="19.5" customHeight="1">
      <c r="B9" s="16" t="s">
        <v>208</v>
      </c>
      <c r="C9" s="11"/>
      <c r="D9" s="11"/>
      <c r="E9" s="28"/>
      <c r="F9" s="13"/>
      <c r="G9" s="11"/>
    </row>
    <row r="10" spans="2:17" s="11" customFormat="1" ht="19.5" customHeight="1">
      <c r="B10" s="30"/>
      <c r="C10" s="30">
        <f>IF(Inputs!B14=0," ",1)</f>
        <v>1</v>
      </c>
      <c r="D10" s="30">
        <f>IF(Inputs!B14&lt;2," ",2)</f>
        <v>2</v>
      </c>
      <c r="E10" s="31">
        <f>IF(Inputs!B14&lt;3," ",3)</f>
        <v>3</v>
      </c>
      <c r="F10" s="30">
        <f>IF(Inputs!B14&lt;4," ",4)</f>
        <v>4</v>
      </c>
      <c r="G10" s="30">
        <f>IF(Inputs!B14&lt;5," ",5)</f>
        <v>5</v>
      </c>
      <c r="H10" s="30">
        <f>IF(Inputs!B14&lt;6," ",6)</f>
        <v>6</v>
      </c>
      <c r="I10" s="30">
        <f>IF(Inputs!B14&lt;7," ",7)</f>
        <v>7</v>
      </c>
      <c r="J10" s="30">
        <f>IF(Inputs!B14&lt;8," ",8)</f>
        <v>8</v>
      </c>
      <c r="K10" s="30">
        <f>IF(Inputs!B14&lt;9," ",9)</f>
        <v>9</v>
      </c>
      <c r="L10" s="30">
        <f>IF(Inputs!B14&lt;10," ",10)</f>
        <v>10</v>
      </c>
      <c r="M10" s="30" t="str">
        <f>IF(Inputs!B14&lt;11," ",11)</f>
        <v> </v>
      </c>
      <c r="N10" s="30" t="str">
        <f>IF(Inputs!B14&lt;12," ",12)</f>
        <v> </v>
      </c>
      <c r="O10" s="30" t="str">
        <f>IF(Inputs!B14&lt;13," ",13)</f>
        <v> </v>
      </c>
      <c r="P10" s="30" t="str">
        <f>IF(Inputs!B14&lt;14," ",14)</f>
        <v> </v>
      </c>
      <c r="Q10" s="30" t="str">
        <f>IF(Inputs!B14&lt;15," ",15)</f>
        <v> </v>
      </c>
    </row>
    <row r="11" spans="2:17" s="11" customFormat="1" ht="19.5" customHeight="1">
      <c r="B11" s="34" t="s">
        <v>156</v>
      </c>
      <c r="C11" s="40">
        <f>IF(Inputs!$B$14&lt;C10," ",IF(Inputs!$B$29="Yes",IF(C10&lt;(Inputs!$B$14/2),$D$6,$D$19+(($D$6-$D$19)/(Inputs!$B$14/2))*(Inputs!$B$14-C10)),$D$6))</f>
        <v>0.17307692307692304</v>
      </c>
      <c r="D11" s="40">
        <f>IF(Inputs!$B$14&lt;D10," ",IF(Inputs!$B$29="Yes",IF(D10&lt;(Inputs!$B$14/2),$D$6,$D$19+(($D$6-$D$19)/(Inputs!$B$14/2))*(Inputs!$B$14-D10)),$D$6))</f>
        <v>0.17307692307692304</v>
      </c>
      <c r="E11" s="40">
        <f>IF(Inputs!$B$14&lt;E10," ",IF(Inputs!$B$29="Yes",IF(E10&lt;(Inputs!$B$14/2),$D$6,$D$19+(($D$6-$D$19)/(Inputs!$B$14/2))*(Inputs!$B$14-E10)),$D$6))</f>
        <v>0.17307692307692304</v>
      </c>
      <c r="F11" s="40">
        <f>IF(Inputs!$B$14&lt;F10," ",IF(Inputs!$B$29="Yes",IF(F10&lt;(Inputs!$B$14/2),$D$6,$D$19+(($D$6-$D$19)/(Inputs!$B$14/2))*(Inputs!$B$14-F10)),$D$6))</f>
        <v>0.17307692307692304</v>
      </c>
      <c r="G11" s="40">
        <f>IF(Inputs!$B$14&lt;G10," ",IF(Inputs!$B$29="Yes",IF(G10&lt;(Inputs!$B$14/2),$D$6,$D$19+(($D$6-$D$19)/(Inputs!$B$14/2))*(Inputs!$B$14-G10)),$D$6))</f>
        <v>0.17307692307692304</v>
      </c>
      <c r="H11" s="40">
        <f>IF(Inputs!$B$14&lt;H10," ",IF(Inputs!$B$29="Yes",IF(H10&lt;(Inputs!$B$14/2),$D$6,$D$19+(($D$6-$D$19)/(Inputs!$B$14/2))*(Inputs!$B$14-H10)),$D$6))</f>
        <v>0.15046153846153842</v>
      </c>
      <c r="I11" s="40">
        <f>IF(Inputs!$B$14&lt;I10," ",IF(Inputs!$B$29="Yes",IF(I10&lt;(Inputs!$B$14/2),$D$6,$D$19+(($D$6-$D$19)/(Inputs!$B$14/2))*(Inputs!$B$14-I10)),$D$6))</f>
        <v>0.12784615384615383</v>
      </c>
      <c r="J11" s="40">
        <f>IF(Inputs!$B$14&lt;J10," ",IF(Inputs!$B$29="Yes",IF(J10&lt;(Inputs!$B$14/2),$D$6,$D$19+(($D$6-$D$19)/(Inputs!$B$14/2))*(Inputs!$B$14-J10)),$D$6))</f>
        <v>0.10523076923076921</v>
      </c>
      <c r="K11" s="40">
        <f>IF(Inputs!$B$14&lt;K10," ",IF(Inputs!$B$29="Yes",IF(K10&lt;(Inputs!$B$14/2),$D$6,$D$19+(($D$6-$D$19)/(Inputs!$B$14/2))*(Inputs!$B$14-K10)),$D$6))</f>
        <v>0.0826153846153846</v>
      </c>
      <c r="L11" s="40">
        <f>IF(Inputs!$B$14&lt;L10," ",IF(Inputs!$B$29="Yes",IF(L10&lt;(Inputs!$B$14/2),$D$6,$D$19+(($D$6-$D$19)/(Inputs!$B$14/2))*(Inputs!$B$14-L10)),$D$6))</f>
        <v>0.06</v>
      </c>
      <c r="M11" s="40" t="str">
        <f>IF(Inputs!$B$14&lt;M10," ",IF(Inputs!$B$29="Yes",IF(M10&lt;(Inputs!$B$14/2),$D$6,$D$19+(($D$6-$D$19)/(Inputs!$B$14/2))*(Inputs!$B$14-M10)),$D$6))</f>
        <v> </v>
      </c>
      <c r="N11" s="40" t="str">
        <f>IF(Inputs!$B$14&lt;N10," ",IF(Inputs!$B$29="Yes",IF(N10&lt;(Inputs!$B$14/2),$D$6,$D$19+(($D$6-$D$19)/(Inputs!$B$14/2))*(Inputs!$B$14-N10)),$D$6))</f>
        <v> </v>
      </c>
      <c r="O11" s="40" t="str">
        <f>IF(Inputs!$B$14&lt;O10," ",IF(Inputs!$B$29="Yes",IF(O10&lt;(Inputs!$B$14/2),$D$6,$D$19+(($D$6-$D$19)/(Inputs!$B$14/2))*(Inputs!$B$14-O10)),$D$6))</f>
        <v> </v>
      </c>
      <c r="P11" s="40" t="str">
        <f>IF(Inputs!$B$14&lt;P10," ",IF(Inputs!$B$29="Yes",IF(P10&lt;(Inputs!$B$14/2),$D$6,$D$19+(($D$6-$D$19)/(Inputs!$B$14/2))*(Inputs!$B$14-P10)),$D$6))</f>
        <v> </v>
      </c>
      <c r="Q11" s="40" t="str">
        <f>IF(Inputs!$B$14&lt;Q10," ",IF(Inputs!$B$29="Yes",IF(Q10&lt;(Inputs!$B$14/2),$D$6,$D$19+(($D$6-$D$19)/(Inputs!$B$14/2))*(Inputs!$B$14-Q10)),$D$6))</f>
        <v> </v>
      </c>
    </row>
    <row r="12" spans="2:17" s="11" customFormat="1" ht="19.5" customHeight="1">
      <c r="B12" s="34" t="s">
        <v>162</v>
      </c>
      <c r="C12" s="33">
        <f>IF(Inputs!$B$14&lt;C10," ",D5*(1+D11))</f>
        <v>4.117906666666667</v>
      </c>
      <c r="D12" s="33">
        <f>IF(Inputs!$B$14&lt;D10," ",C12*(1+D11))</f>
        <v>4.830621282051283</v>
      </c>
      <c r="E12" s="33">
        <f>IF(Inputs!$B$14&lt;E10," ",D12*(1+E11))</f>
        <v>5.66669035009862</v>
      </c>
      <c r="F12" s="33">
        <f>IF(Inputs!$B$14&lt;F10," ",E12*(1+F11))</f>
        <v>6.647463679923382</v>
      </c>
      <c r="G12" s="33">
        <f>IF(Inputs!$B$14&lt;G10," ",F12*(1+G11))</f>
        <v>7.797986239910121</v>
      </c>
      <c r="H12" s="33">
        <f>IF(Inputs!$B$14&lt;H10," ",G12*(1+H11))</f>
        <v>8.971283246468905</v>
      </c>
      <c r="I12" s="33">
        <f>IF(Inputs!$B$14&lt;I10," ",H12*(1+I11))</f>
        <v>10.118227304594393</v>
      </c>
      <c r="J12" s="33">
        <f>IF(Inputs!$B$14&lt;J10," ",I12*(1+J11))</f>
        <v>11.182976147108635</v>
      </c>
      <c r="K12" s="33">
        <f>IF(Inputs!$B$14&lt;K10," ",J12*(1+K11))</f>
        <v>12.106862022646686</v>
      </c>
      <c r="L12" s="33">
        <f>IF(Inputs!$B$14&lt;L10," ",K12*(1+L11))</f>
        <v>12.833273744005488</v>
      </c>
      <c r="M12" s="33" t="str">
        <f>IF(Inputs!$B$14&lt;M10," ",L12*(1+M11))</f>
        <v> </v>
      </c>
      <c r="N12" s="33" t="str">
        <f>IF(Inputs!$B$14&lt;N10," ",M12*(1+N11))</f>
        <v> </v>
      </c>
      <c r="O12" s="33" t="str">
        <f>IF(Inputs!$B$14&lt;O10," ",N12*(1+O11))</f>
        <v> </v>
      </c>
      <c r="P12" s="33" t="str">
        <f>IF(Inputs!$B$14&lt;P10," ",O12*(1+P11))</f>
        <v> </v>
      </c>
      <c r="Q12" s="33" t="str">
        <f>IF(Inputs!$B$14&lt;Q10," ",P12*(1+Q11))</f>
        <v> </v>
      </c>
    </row>
    <row r="13" spans="2:17" s="11" customFormat="1" ht="19.5" customHeight="1">
      <c r="B13" s="34" t="s">
        <v>188</v>
      </c>
      <c r="C13" s="25">
        <f>IF(Inputs!$B$14&lt;C10," ",IF(Inputs!$B$29="Yes",IF(C10&lt;(Inputs!$B$14/2),$D$7,$D$20+(($D$7-$D$20)/(Inputs!$B$14/2))*(Inputs!$B$14-C10)),$D$7))</f>
        <v>0.42307692307692313</v>
      </c>
      <c r="D13" s="25">
        <f>IF(Inputs!$B$14&lt;D10," ",IF(Inputs!$B$29="Yes",IF(D10&lt;(Inputs!$B$14/2),$D$7,$D$20+(($D$7-$D$20)/(Inputs!$B$14/2))*(Inputs!$B$14-D10)),$D$7))</f>
        <v>0.42307692307692313</v>
      </c>
      <c r="E13" s="25">
        <f>IF(Inputs!$B$14&lt;E10," ",IF(Inputs!$B$29="Yes",IF(E10&lt;(Inputs!$B$14/2),$D$7,$D$20+(($D$7-$D$20)/(Inputs!$B$14/2))*(Inputs!$B$14-E10)),$D$7))</f>
        <v>0.42307692307692313</v>
      </c>
      <c r="F13" s="25">
        <f>IF(Inputs!$B$14&lt;F10," ",IF(Inputs!$B$29="Yes",IF(F10&lt;(Inputs!$B$14/2),$D$7,$D$20+(($D$7-$D$20)/(Inputs!$B$14/2))*(Inputs!$B$14-F10)),$D$7))</f>
        <v>0.42307692307692313</v>
      </c>
      <c r="G13" s="25">
        <f>IF(Inputs!$B$14&lt;G10," ",IF(Inputs!$B$29="Yes",IF(G10&lt;(Inputs!$B$14/2),$D$7,$D$20+(($D$7-$D$20)/(Inputs!$B$14/2))*(Inputs!$B$14-G10)),$D$7))</f>
        <v>0.42307692307692313</v>
      </c>
      <c r="H13" s="25">
        <f>IF(Inputs!$B$14&lt;H10," ",IF(Inputs!$B$29="Yes",IF(H10&lt;(Inputs!$B$14/2),$D$7,$D$20+(($D$7-$D$20)/(Inputs!$B$14/2))*(Inputs!$B$14-H10)),$D$7))</f>
        <v>0.4984615384615385</v>
      </c>
      <c r="I13" s="25">
        <f>IF(Inputs!$B$14&lt;I10," ",IF(Inputs!$B$29="Yes",IF(I10&lt;(Inputs!$B$14/2),$D$7,$D$20+(($D$7-$D$20)/(Inputs!$B$14/2))*(Inputs!$B$14-I10)),$D$7))</f>
        <v>0.5738461538461539</v>
      </c>
      <c r="J13" s="25">
        <f>IF(Inputs!$B$14&lt;J10," ",IF(Inputs!$B$29="Yes",IF(J10&lt;(Inputs!$B$14/2),$D$7,$D$20+(($D$7-$D$20)/(Inputs!$B$14/2))*(Inputs!$B$14-J10)),$D$7))</f>
        <v>0.6492307692307693</v>
      </c>
      <c r="K13" s="25">
        <f>IF(Inputs!$B$14&lt;K10," ",IF(Inputs!$B$29="Yes",IF(K10&lt;(Inputs!$B$14/2),$D$7,$D$20+(($D$7-$D$20)/(Inputs!$B$14/2))*(Inputs!$B$14-K10)),$D$7))</f>
        <v>0.7246153846153847</v>
      </c>
      <c r="L13" s="25">
        <f>IF(Inputs!$B$14&lt;L10," ",IF(Inputs!$B$29="Yes",IF(L10&lt;(Inputs!$B$14/2),$D$7,$D$20+(($D$7-$D$20)/(Inputs!$B$14/2))*(Inputs!$B$14-L10)),$D$7))</f>
        <v>0.8</v>
      </c>
      <c r="M13" s="25" t="str">
        <f>IF(Inputs!$B$14&lt;M10," ",IF(Inputs!$B$29="Yes",IF(M10&lt;(Inputs!$B$14/2),$D$7,$D$20+(($D$7-$D$20)/(Inputs!$B$14/2))*(Inputs!$B$14-M10)),$D$7))</f>
        <v> </v>
      </c>
      <c r="N13" s="25" t="str">
        <f>IF(Inputs!$B$14&lt;N10," ",IF(Inputs!$B$29="Yes",IF(N10&lt;(Inputs!$B$14/2),$D$7,$D$20+(($D$7-$D$20)/(Inputs!$B$14/2))*(Inputs!$B$14-N10)),$D$7))</f>
        <v> </v>
      </c>
      <c r="O13" s="25" t="str">
        <f>IF(Inputs!$B$14&lt;O10," ",IF(Inputs!$B$29="Yes",IF(O10&lt;(Inputs!$B$14/2),$D$7,$D$20+(($D$7-$D$20)/(Inputs!$B$14/2))*(Inputs!$B$14-O10)),$D$7))</f>
        <v> </v>
      </c>
      <c r="P13" s="25" t="str">
        <f>IF(Inputs!$B$14&lt;P10," ",IF(Inputs!$B$29="Yes",IF(P10&lt;(Inputs!$B$14/2),$D$7,$D$20+(($D$7-$D$20)/(Inputs!$B$14/2))*(Inputs!$B$14-P10)),$D$7))</f>
        <v> </v>
      </c>
      <c r="Q13" s="25" t="str">
        <f>IF(Inputs!$B$14&lt;Q10," ",IF(Inputs!$B$29="Yes",IF(Q10&lt;(Inputs!$B$14/2),$D$7,$D$20+(($D$7-$D$20)/(Inputs!$B$14/2))*(Inputs!$B$14-Q10)),$D$7))</f>
        <v> </v>
      </c>
    </row>
    <row r="14" spans="2:17" s="11" customFormat="1" ht="19.5" customHeight="1">
      <c r="B14" s="34" t="s">
        <v>161</v>
      </c>
      <c r="C14" s="33">
        <f>IF(Inputs!$B$14&lt;C10," ",C12*C13)</f>
        <v>1.7421912820512826</v>
      </c>
      <c r="D14" s="33">
        <f>IF(Inputs!$B$14&lt;D10," ",D12*D13)</f>
        <v>2.0437243885601584</v>
      </c>
      <c r="E14" s="33">
        <f>IF(Inputs!$B$14&lt;E10," ",E12*E13)</f>
        <v>2.3974459173494167</v>
      </c>
      <c r="F14" s="33">
        <f>IF(Inputs!$B$14&lt;F10," ",F12*F13)</f>
        <v>2.812388479967585</v>
      </c>
      <c r="G14" s="33">
        <f>IF(Inputs!$B$14&lt;G10," ",G12*G13)</f>
        <v>3.2991480245773595</v>
      </c>
      <c r="H14" s="33">
        <f>IF(Inputs!$B$14&lt;H10," ",H12*H13)</f>
        <v>4.471839649009117</v>
      </c>
      <c r="I14" s="33">
        <f>IF(Inputs!$B$14&lt;I10," ",I12*I13)</f>
        <v>5.80630582248263</v>
      </c>
      <c r="J14" s="33">
        <f>IF(Inputs!$B$14&lt;J10," ",J12*J13)</f>
        <v>7.260332206276684</v>
      </c>
      <c r="K14" s="33">
        <f>IF(Inputs!$B$14&lt;K10," ",K12*K13)</f>
        <v>8.772818481025523</v>
      </c>
      <c r="L14" s="33">
        <f>IF(Inputs!$B$14&lt;L10," ",L12*L13)</f>
        <v>10.266618995204391</v>
      </c>
      <c r="M14" s="33" t="str">
        <f>IF(Inputs!$B$14&lt;M10," ",M12*M13)</f>
        <v> </v>
      </c>
      <c r="N14" s="33" t="str">
        <f>IF(Inputs!$B$14&lt;N10," ",N12*N13)</f>
        <v> </v>
      </c>
      <c r="O14" s="33" t="str">
        <f>IF(Inputs!$B$14&lt;O10," ",O12*O13)</f>
        <v> </v>
      </c>
      <c r="P14" s="33" t="str">
        <f>IF(Inputs!$B$14&lt;P10," ",P12*P13)</f>
        <v> </v>
      </c>
      <c r="Q14" s="33" t="str">
        <f>IF(Inputs!$B$14&lt;Q10," ",Q12*Q13)</f>
        <v> </v>
      </c>
    </row>
    <row r="15" spans="2:17" s="11" customFormat="1" ht="19.5" customHeight="1">
      <c r="B15" s="34" t="s">
        <v>163</v>
      </c>
      <c r="C15" s="25">
        <f>IF(Inputs!$B$14&lt;C10," ",IF(Inputs!$B$29="Yes",IF(C10&lt;(Inputs!$B$14/2),$D$3,$D$21+(($D$3-$D$21)/(Inputs!$B$14/2))*(Inputs!$B$14-C10)),$D$3))</f>
        <v>0.12225</v>
      </c>
      <c r="D15" s="25">
        <f>IF(Inputs!$B$14&lt;D10," ",IF(Inputs!$B$29="Yes",IF(D10&lt;(Inputs!$B$14/2),$D$3,$D$21+(($D$3-$D$21)/(Inputs!$B$14/2))*(Inputs!$B$14-D10)),$D$3))</f>
        <v>0.12225</v>
      </c>
      <c r="E15" s="25">
        <f>IF(Inputs!$B$14&lt;E10," ",IF(Inputs!$B$29="Yes",IF(E10&lt;(Inputs!$B$14/2),$D$3,$D$21+(($D$3-$D$21)/(Inputs!$B$14/2))*(Inputs!$B$14-E10)),$D$3))</f>
        <v>0.12225</v>
      </c>
      <c r="F15" s="25">
        <f>IF(Inputs!$B$14&lt;F10," ",IF(Inputs!$B$29="Yes",IF(F10&lt;(Inputs!$B$14/2),$D$3,$D$21+(($D$3-$D$21)/(Inputs!$B$14/2))*(Inputs!$B$14-F10)),$D$3))</f>
        <v>0.12225</v>
      </c>
      <c r="G15" s="25">
        <f>IF(Inputs!$B$14&lt;G10," ",IF(Inputs!$B$29="Yes",IF(G10&lt;(Inputs!$B$14/2),$D$3,$D$21+(($D$3-$D$21)/(Inputs!$B$14/2))*(Inputs!$B$14-G10)),$D$3))</f>
        <v>0.12225</v>
      </c>
      <c r="H15" s="25">
        <f>IF(Inputs!$B$14&lt;H10," ",IF(Inputs!$B$29="Yes",IF(H10&lt;(Inputs!$B$14/2),$D$3,$D$21+(($D$3-$D$21)/(Inputs!$B$14/2))*(Inputs!$B$14-H10)),$D$3))</f>
        <v>0.1206</v>
      </c>
      <c r="I15" s="25">
        <f>IF(Inputs!$B$14&lt;I10," ",IF(Inputs!$B$29="Yes",IF(I10&lt;(Inputs!$B$14/2),$D$3,$D$21+(($D$3-$D$21)/(Inputs!$B$14/2))*(Inputs!$B$14-I10)),$D$3))</f>
        <v>0.11895</v>
      </c>
      <c r="J15" s="25">
        <f>IF(Inputs!$B$14&lt;J10," ",IF(Inputs!$B$29="Yes",IF(J10&lt;(Inputs!$B$14/2),$D$3,$D$21+(($D$3-$D$21)/(Inputs!$B$14/2))*(Inputs!$B$14-J10)),$D$3))</f>
        <v>0.11730000000000002</v>
      </c>
      <c r="K15" s="25">
        <f>IF(Inputs!$B$14&lt;K10," ",IF(Inputs!$B$29="Yes",IF(K10&lt;(Inputs!$B$14/2),$D$3,$D$21+(($D$3-$D$21)/(Inputs!$B$14/2))*(Inputs!$B$14-K10)),$D$3))</f>
        <v>0.11565000000000002</v>
      </c>
      <c r="L15" s="25">
        <f>IF(Inputs!$B$14&lt;L10," ",IF(Inputs!$B$29="Yes",IF(L10&lt;(Inputs!$B$14/2),$D$3,$D$21+(($D$3-$D$21)/(Inputs!$B$14/2))*(Inputs!$B$14-L10)),$D$3))</f>
        <v>0.11400000000000002</v>
      </c>
      <c r="M15" s="25" t="str">
        <f>IF(Inputs!$B$14&lt;M10," ",IF(Inputs!$B$29="Yes",IF(M10&lt;(Inputs!$B$14/2),$D$3,$D$21+(($D$3-$D$21)/(Inputs!$B$14/2))*(Inputs!$B$14-M10)),$D$3))</f>
        <v> </v>
      </c>
      <c r="N15" s="25" t="str">
        <f>IF(Inputs!$B$14&lt;N10," ",IF(Inputs!$B$29="Yes",IF(N10&lt;(Inputs!$B$14/2),$D$3,$D$21+(($D$3-$D$21)/(Inputs!$B$14/2))*(Inputs!$B$14-N10)),$D$3))</f>
        <v> </v>
      </c>
      <c r="O15" s="25" t="str">
        <f>IF(Inputs!$B$14&lt;O10," ",IF(Inputs!$B$29="Yes",IF(O10&lt;(Inputs!$B$14/2),$D$3,$D$21+(($D$3-$D$21)/(Inputs!$B$14/2))*(Inputs!$B$14-O10)),$D$3))</f>
        <v> </v>
      </c>
      <c r="P15" s="25" t="str">
        <f>IF(Inputs!$B$14&lt;P10," ",IF(Inputs!$B$29="Yes",IF(P10&lt;(Inputs!$B$14/2),$D$3,$D$21+(($D$3-$D$21)/(Inputs!$B$14/2))*(Inputs!$B$14-P10)),$D$3))</f>
        <v> </v>
      </c>
      <c r="Q15" s="25" t="str">
        <f>IF(Inputs!$B$14&lt;Q10," ",IF(Inputs!$B$29="Yes",IF(Q10&lt;(Inputs!$B$14/2),$D$3,$D$21+(($D$3-$D$21)/(Inputs!$B$14/2))*(Inputs!$B$14-Q10)),$D$3))</f>
        <v> </v>
      </c>
    </row>
    <row r="16" spans="2:17" s="11" customFormat="1" ht="19.5" customHeight="1">
      <c r="B16" s="34" t="s">
        <v>165</v>
      </c>
      <c r="C16" s="25">
        <f>IF(Inputs!$B$14&lt;C10," ",(1+C15))</f>
        <v>1.12225</v>
      </c>
      <c r="D16" s="25">
        <f>IF(Inputs!$B$14&lt;D10," ",(1+C15)*(1+D15))</f>
        <v>1.2594450625</v>
      </c>
      <c r="E16" s="25">
        <f>IF(Inputs!$B$14&lt;E10," ",(1+C15)*(1+D15)*(1+E15))</f>
        <v>1.413412221390625</v>
      </c>
      <c r="F16" s="25">
        <f>IF(Inputs!$B$14&lt;F10," ",(1+C15)*(1+D15)*(1+E15)*(1+F15))</f>
        <v>1.586201865455629</v>
      </c>
      <c r="G16" s="25">
        <f>IF(Inputs!$B$14&lt;G10," ",(1+C15)*(1+D15)*(1+E15)*(1+F15)*(1+G15))</f>
        <v>1.7801150435075794</v>
      </c>
      <c r="H16" s="25">
        <f>IF(Inputs!$B$14&lt;H10," ",(1+C15)*(1+D15)*(1+E15)*(1+F15)*(1+G15)*(1+H15))</f>
        <v>1.9947969177545937</v>
      </c>
      <c r="I16" s="25">
        <f>IF(Inputs!$B$14&lt;I10," ",(1+C15)*(1+D15)*(1+E15)*(1+F15)*(1+G15)*(1+H15)*(1+I15))</f>
        <v>2.2320780111215024</v>
      </c>
      <c r="J16" s="25">
        <f>IF(Inputs!$B$14&lt;J10," ",(1+C15)*(1+D15)*(1+E15)*(1+F15)*(1+G15)*(1+H15)*(1+I15)*(1+J15))</f>
        <v>2.4939007618260547</v>
      </c>
      <c r="K16" s="25">
        <f>IF(Inputs!$B$14&lt;K10," ",(1+C15)*(1+D15)*(1+E15)*(1+F15)*(1+G15)*(1+H15)*(1+I15)*(1+J15)*(1+K15))</f>
        <v>2.782320384931238</v>
      </c>
      <c r="L16" s="25">
        <f>IF(Inputs!$B$14&lt;L10," ",(1+C15)*(1+D15)*(1+E15)*(1+F15)*(1+G15)*(1+H15)*(1+I15)*(1+J15)*(1+K15)*(1+L15))</f>
        <v>3.0995049088133992</v>
      </c>
      <c r="M16" s="25" t="str">
        <f>IF(Inputs!$B$14&lt;M10," ",(1+C15)*(1+D15)*(1+E15)*(1+F15)*(1+G15)*(1+H15)*(1+I15)*(1+J15)*(1+K15)*(1+L15)*(1+M15))</f>
        <v> </v>
      </c>
      <c r="N16" s="25" t="str">
        <f>IF(Inputs!$B$14&lt;N10," ",(1+C15)*(1+D15)*(1+E15)*(1+F15)*(1+G15)*(1+H15)*(1+I15)*(1+J15)*(1+K15)*(1+L15)*(1+M15)*(1+N15))</f>
        <v> </v>
      </c>
      <c r="O16" s="25" t="str">
        <f>IF(Inputs!$B$14&lt;O10," ",(1+C15)*(1+D15)*(1+E15)*(1+F15)*(1+G15)*(1+H15)*(1+I15)*(1+J15)*(1+K15)*(1+L15)*(1+M15)*(1+N15)*(1+O15))</f>
        <v> </v>
      </c>
      <c r="P16" s="25" t="str">
        <f>IF(Inputs!$B$14&lt;P10," ",(1+C15)*(1+D15)*(1+E15)*(1+F15)*(1+G15)*(1+H15)*(1+I15)*(1+J15)*(1+K15)*(1+L15)*(1+M15)*(1+N15)*(1+O15)*(1+P15))</f>
        <v> </v>
      </c>
      <c r="Q16" s="25" t="str">
        <f>IF(Inputs!$B$14&lt;Q10," ",(1+C15)*(1+D15)*(1+E15)*(1+F15)*(1+G15)*(1+H15)*(1+I15)*(1+J15)*(1+K15)*(1+L15)*(1+M15)*(1+N15)*(1+O15)*(1+P15)*(1+Q15))</f>
        <v> </v>
      </c>
    </row>
    <row r="17" spans="2:17" s="11" customFormat="1" ht="19.5" customHeight="1">
      <c r="B17" s="34" t="s">
        <v>164</v>
      </c>
      <c r="C17" s="33">
        <f>IF(Inputs!$B$14&lt;C10," ",C14/C16)</f>
        <v>1.5524092511038383</v>
      </c>
      <c r="D17" s="33">
        <f>IF(Inputs!$B$14&lt;D10," ",D14/D16)</f>
        <v>1.6227181712105512</v>
      </c>
      <c r="E17" s="33">
        <f>IF(Inputs!$B$14&lt;E10," ",E14/E16)</f>
        <v>1.6962113961280332</v>
      </c>
      <c r="F17" s="33">
        <f>IF(Inputs!$B$14&lt;F10," ",F14/F16)</f>
        <v>1.773033143647035</v>
      </c>
      <c r="G17" s="33">
        <f>IF(Inputs!$B$14&lt;G10," ",G14/G16)</f>
        <v>1.8533341632103972</v>
      </c>
      <c r="H17" s="33">
        <f>IF(Inputs!$B$14&lt;H10," ",H14/H16)</f>
        <v>2.2417518340878333</v>
      </c>
      <c r="I17" s="33">
        <f>IF(Inputs!$B$14&lt;I10," ",I14/I16)</f>
        <v>2.6013005789010326</v>
      </c>
      <c r="J17" s="33">
        <f>IF(Inputs!$B$14&lt;J10," ",J14/J16)</f>
        <v>2.9112354097685142</v>
      </c>
      <c r="K17" s="33">
        <f>IF(Inputs!$B$14&lt;K10," ",K14/K16)</f>
        <v>3.1530583352435646</v>
      </c>
      <c r="L17" s="33">
        <f>IF(Inputs!$B$14&lt;L10," ",L14/L16)</f>
        <v>3.3123415826867713</v>
      </c>
      <c r="M17" s="33" t="str">
        <f>IF(Inputs!$B$14&lt;M10," ",M14/M16)</f>
        <v> </v>
      </c>
      <c r="N17" s="33" t="str">
        <f>IF(Inputs!$B$14&lt;N10," ",N14/N16)</f>
        <v> </v>
      </c>
      <c r="O17" s="33" t="str">
        <f>IF(Inputs!$B$14&lt;O10," ",O14/O16)</f>
        <v> </v>
      </c>
      <c r="P17" s="33" t="str">
        <f>IF(Inputs!$B$14&lt;P10," ",P14/P16)</f>
        <v> </v>
      </c>
      <c r="Q17" s="33" t="str">
        <f>IF(Inputs!$B$14&lt;Q10," ",Q14/Q16)</f>
        <v> </v>
      </c>
    </row>
    <row r="18" spans="2:7" ht="19.5" customHeight="1">
      <c r="B18" s="11"/>
      <c r="C18" s="11"/>
      <c r="D18" s="11"/>
      <c r="E18" s="13"/>
      <c r="F18" s="13"/>
      <c r="G18" s="11"/>
    </row>
    <row r="19" spans="2:6" ht="19.5" customHeight="1">
      <c r="B19" s="11" t="s">
        <v>95</v>
      </c>
      <c r="C19" s="11"/>
      <c r="D19" s="26">
        <f>Inputs!B32</f>
        <v>0.06</v>
      </c>
      <c r="E19" s="13"/>
      <c r="F19" s="11"/>
    </row>
    <row r="20" spans="2:6" ht="19.5" customHeight="1">
      <c r="B20" s="11" t="s">
        <v>96</v>
      </c>
      <c r="C20" s="11"/>
      <c r="D20" s="26">
        <f>IF(Inputs!B35="No",Inputs!B34,Inputs!B36)</f>
        <v>0.8</v>
      </c>
      <c r="E20" s="13"/>
      <c r="F20" s="11"/>
    </row>
    <row r="21" spans="2:6" ht="19.5" customHeight="1">
      <c r="B21" s="11" t="s">
        <v>97</v>
      </c>
      <c r="C21" s="11"/>
      <c r="D21" s="26">
        <f>IF(Inputs!B38="No",Inputs!B10+Inputs!B9*Inputs!B40,Inputs!B10+Inputs!B39*Inputs!B40)</f>
        <v>0.11400000000000002</v>
      </c>
      <c r="E21" s="13"/>
      <c r="F21" s="11"/>
    </row>
    <row r="22" spans="2:6" s="1" customFormat="1" ht="19.5" customHeight="1">
      <c r="B22" s="23" t="s">
        <v>98</v>
      </c>
      <c r="C22" s="23"/>
      <c r="D22" s="32">
        <f>IF(Inputs!B14=0,D5*D20*(1+D19)/(D21-D19),MAX(C12:Q12)*(1+D19)*D20/(D21-D19))</f>
        <v>201.52992842438243</v>
      </c>
      <c r="E22" s="29"/>
      <c r="F22" s="23"/>
    </row>
    <row r="23" spans="2:7" ht="19.5" customHeight="1">
      <c r="B23" s="5"/>
      <c r="C23" s="5"/>
      <c r="D23" s="5"/>
      <c r="E23" s="6"/>
      <c r="F23" s="6"/>
      <c r="G23" s="5"/>
    </row>
    <row r="24" spans="2:5" s="44" customFormat="1" ht="19.5" customHeight="1">
      <c r="B24" s="44" t="s">
        <v>99</v>
      </c>
      <c r="E24" s="46">
        <f>SUM(C17:Q17)</f>
        <v>22.71739386598757</v>
      </c>
    </row>
    <row r="25" spans="2:5" s="44" customFormat="1" ht="19.5" customHeight="1">
      <c r="B25" s="44" t="s">
        <v>100</v>
      </c>
      <c r="E25" s="46">
        <f>IF(Inputs!B14=0,valuation!D22,D22/MAX(C16:Q16))</f>
        <v>65.02003847496252</v>
      </c>
    </row>
    <row r="26" spans="2:5" s="44" customFormat="1" ht="19.5" customHeight="1">
      <c r="B26" s="44" t="s">
        <v>101</v>
      </c>
      <c r="E26" s="46">
        <f>E24+E25</f>
        <v>87.7374323409501</v>
      </c>
    </row>
    <row r="27" spans="2:7" ht="19.5" customHeight="1">
      <c r="B27" s="5"/>
      <c r="C27" s="5"/>
      <c r="D27" s="5"/>
      <c r="E27" s="6"/>
      <c r="F27" s="6"/>
      <c r="G27" s="5"/>
    </row>
    <row r="28" spans="2:7" ht="19.5" customHeight="1">
      <c r="B28" s="5"/>
      <c r="C28" s="5"/>
      <c r="D28" s="5"/>
      <c r="E28" s="6"/>
      <c r="F28" s="6"/>
      <c r="G28" s="5"/>
    </row>
    <row r="29" spans="2:7" s="11" customFormat="1" ht="19.5" customHeight="1">
      <c r="B29" s="10" t="s">
        <v>102</v>
      </c>
      <c r="C29" s="5"/>
      <c r="D29" s="5"/>
      <c r="E29" s="6"/>
      <c r="F29" s="6"/>
      <c r="G29" s="5"/>
    </row>
    <row r="30" spans="2:5" s="11" customFormat="1" ht="19.5" customHeight="1">
      <c r="B30" s="11" t="s">
        <v>103</v>
      </c>
      <c r="D30" s="33">
        <f>Inputs!B5/D21</f>
        <v>9.649122807017543</v>
      </c>
      <c r="E30" s="13"/>
    </row>
    <row r="31" spans="2:5" s="11" customFormat="1" ht="19.5" customHeight="1">
      <c r="B31" s="11" t="s">
        <v>104</v>
      </c>
      <c r="D31" s="33">
        <f>Inputs!B5*(1+D19)/(D21-D19)-D30</f>
        <v>11.943469785575045</v>
      </c>
      <c r="E31" s="13"/>
    </row>
    <row r="32" spans="2:5" s="11" customFormat="1" ht="19.5" customHeight="1">
      <c r="B32" s="11" t="s">
        <v>105</v>
      </c>
      <c r="D32" s="33">
        <f>E26-D31-D30</f>
        <v>66.1448397483575</v>
      </c>
      <c r="E32" s="13"/>
    </row>
    <row r="33" spans="2:5" s="11" customFormat="1" ht="19.5" customHeight="1">
      <c r="B33" s="11" t="s">
        <v>101</v>
      </c>
      <c r="D33" s="33">
        <f>SUM(D30:D32)</f>
        <v>87.73743234095008</v>
      </c>
      <c r="E33" s="13"/>
    </row>
  </sheetData>
  <sheetProtection/>
  <printOptions/>
  <pageMargins left="0.75" right="0.75" top="1" bottom="1" header="0.5" footer="0.5"/>
  <pageSetup orientation="portrait"/>
  <headerFooter alignWithMargins="0">
    <oddHeader>&amp;C Two-Stage Dividend Discount Model</oddHeader>
    <oddFooter>&amp;CPage &amp;p</oddFooter>
  </headerFooter>
  <rowBreaks count="4" manualBreakCount="4">
    <brk id="19" max="65535" man="1"/>
    <brk id="72" max="65535" man="1"/>
    <brk id="80" max="65535" man="1"/>
    <brk id="10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29"/>
  <sheetViews>
    <sheetView zoomScalePageLayoutView="0" workbookViewId="0" topLeftCell="A1">
      <selection activeCell="A1" sqref="A1:S102"/>
    </sheetView>
  </sheetViews>
  <sheetFormatPr defaultColWidth="9.00390625" defaultRowHeight="12.75"/>
  <cols>
    <col min="1" max="1" width="19.375" style="11" bestFit="1" customWidth="1"/>
    <col min="2" max="2" width="9.25390625" style="13" bestFit="1" customWidth="1"/>
    <col min="3" max="4" width="10.625" style="13" bestFit="1" customWidth="1"/>
    <col min="5" max="5" width="11.625" style="13" bestFit="1" customWidth="1"/>
    <col min="6" max="6" width="15.625" style="13" bestFit="1" customWidth="1"/>
    <col min="7" max="16384" width="11.375" style="0" customWidth="1"/>
  </cols>
  <sheetData>
    <row r="1" spans="1:19" s="37" customFormat="1" ht="12.75">
      <c r="A1" s="47" t="s">
        <v>198</v>
      </c>
      <c r="B1" s="48" t="s">
        <v>215</v>
      </c>
      <c r="C1" s="47" t="s">
        <v>28</v>
      </c>
      <c r="D1" s="47" t="s">
        <v>29</v>
      </c>
      <c r="E1" s="47" t="s">
        <v>113</v>
      </c>
      <c r="F1" s="47" t="s">
        <v>216</v>
      </c>
      <c r="G1" s="47" t="s">
        <v>217</v>
      </c>
      <c r="H1" s="47" t="s">
        <v>3</v>
      </c>
      <c r="I1" s="47" t="s">
        <v>71</v>
      </c>
      <c r="J1" s="47" t="s">
        <v>72</v>
      </c>
      <c r="K1" s="47" t="s">
        <v>73</v>
      </c>
      <c r="L1" s="47" t="s">
        <v>74</v>
      </c>
      <c r="M1" s="47" t="s">
        <v>75</v>
      </c>
      <c r="N1" s="47" t="s">
        <v>76</v>
      </c>
      <c r="O1" s="47" t="s">
        <v>77</v>
      </c>
      <c r="P1" s="47" t="s">
        <v>218</v>
      </c>
      <c r="Q1" s="47" t="s">
        <v>78</v>
      </c>
      <c r="R1" s="49" t="s">
        <v>79</v>
      </c>
      <c r="S1" s="47" t="s">
        <v>80</v>
      </c>
    </row>
    <row r="2" spans="1:19" s="11" customFormat="1" ht="12.75">
      <c r="A2" s="54" t="s">
        <v>4</v>
      </c>
      <c r="B2" s="55">
        <v>30</v>
      </c>
      <c r="C2" s="56">
        <v>1.431875</v>
      </c>
      <c r="D2" s="56">
        <v>0.86789666413758</v>
      </c>
      <c r="E2" s="57">
        <v>0.8069</v>
      </c>
      <c r="F2" s="57">
        <v>1.26305156145894</v>
      </c>
      <c r="G2" s="57">
        <v>0.558118773327762</v>
      </c>
      <c r="H2" s="57">
        <v>0.215425552397896</v>
      </c>
      <c r="I2" s="57">
        <v>0.130088334143226</v>
      </c>
      <c r="J2" s="57">
        <v>0.189040551912568</v>
      </c>
      <c r="K2" s="57">
        <v>0.179346940518748</v>
      </c>
      <c r="L2" s="57">
        <v>0.119515679042899</v>
      </c>
      <c r="M2" s="57">
        <v>0.022649120341499</v>
      </c>
      <c r="N2" s="57">
        <v>0.668856675239654</v>
      </c>
      <c r="O2" s="57">
        <v>-0.151305214710455</v>
      </c>
      <c r="P2" s="57">
        <v>0.0716681264858874</v>
      </c>
      <c r="Q2" s="57">
        <v>-0.0116445809343054</v>
      </c>
      <c r="R2" s="56">
        <v>1.08846249450276</v>
      </c>
      <c r="S2" s="56">
        <v>0.942189791921019</v>
      </c>
    </row>
    <row r="3" spans="1:19" s="11" customFormat="1" ht="12.75">
      <c r="A3" s="54" t="s">
        <v>5</v>
      </c>
      <c r="B3" s="55">
        <v>66</v>
      </c>
      <c r="C3" s="56">
        <v>1.2748</v>
      </c>
      <c r="D3" s="56">
        <v>1.19588949063204</v>
      </c>
      <c r="E3" s="57">
        <v>0.477496</v>
      </c>
      <c r="F3" s="57">
        <v>0.272084392516346</v>
      </c>
      <c r="G3" s="57">
        <v>0.213888633582028</v>
      </c>
      <c r="H3" s="57">
        <v>0.255156557468979</v>
      </c>
      <c r="I3" s="57">
        <v>0.195306546283101</v>
      </c>
      <c r="J3" s="57">
        <v>0.241049090909091</v>
      </c>
      <c r="K3" s="57">
        <v>0.123075859874721</v>
      </c>
      <c r="L3" s="57">
        <v>0.0831482001342936</v>
      </c>
      <c r="M3" s="57">
        <v>0.0357324061554311</v>
      </c>
      <c r="N3" s="57">
        <v>1.15907759580875</v>
      </c>
      <c r="O3" s="57">
        <v>-0.00612066190200244</v>
      </c>
      <c r="P3" s="57">
        <v>0.124175854913702</v>
      </c>
      <c r="Q3" s="57">
        <v>-0.000496732182761754</v>
      </c>
      <c r="R3" s="56">
        <v>2.34889686087803</v>
      </c>
      <c r="S3" s="56">
        <v>0.726831130365996</v>
      </c>
    </row>
    <row r="4" spans="1:19" s="11" customFormat="1" ht="12.75">
      <c r="A4" s="54" t="s">
        <v>6</v>
      </c>
      <c r="B4" s="55">
        <v>44</v>
      </c>
      <c r="C4" s="56">
        <v>1.15428571428571</v>
      </c>
      <c r="D4" s="56">
        <v>0.86443494308781</v>
      </c>
      <c r="E4" s="57">
        <v>0.604589285714286</v>
      </c>
      <c r="F4" s="57">
        <v>0.782118533571604</v>
      </c>
      <c r="G4" s="57">
        <v>0.438870096931282</v>
      </c>
      <c r="H4" s="57">
        <v>0.317703343412845</v>
      </c>
      <c r="I4" s="57">
        <v>0.219979445016843</v>
      </c>
      <c r="J4" s="57">
        <v>0.229962045454545</v>
      </c>
      <c r="K4" s="57">
        <v>0.135701711596339</v>
      </c>
      <c r="L4" s="57">
        <v>0.110495710623408</v>
      </c>
      <c r="M4" s="57">
        <v>0.00165788977553235</v>
      </c>
      <c r="N4" s="57">
        <v>1.58611549246407</v>
      </c>
      <c r="O4" s="57">
        <v>-0.0800507174388084</v>
      </c>
      <c r="P4" s="57">
        <v>0.0933029457076996</v>
      </c>
      <c r="Q4" s="57">
        <v>0.136830428859989</v>
      </c>
      <c r="R4" s="56">
        <v>1.99084148855857</v>
      </c>
      <c r="S4" s="56">
        <v>0.653376783096011</v>
      </c>
    </row>
    <row r="5" spans="1:19" s="11" customFormat="1" ht="12.75">
      <c r="A5" s="54" t="s">
        <v>7</v>
      </c>
      <c r="B5" s="55">
        <v>53</v>
      </c>
      <c r="C5" s="56">
        <v>1.13972222222222</v>
      </c>
      <c r="D5" s="56">
        <v>0.930932137213516</v>
      </c>
      <c r="E5" s="57">
        <v>0.683327777777778</v>
      </c>
      <c r="F5" s="57">
        <v>0.443228756990024</v>
      </c>
      <c r="G5" s="57">
        <v>0.307109150121437</v>
      </c>
      <c r="H5" s="57">
        <v>0.163805241889915</v>
      </c>
      <c r="I5" s="57">
        <v>0.180475313905884</v>
      </c>
      <c r="J5" s="57">
        <v>0.172109811320755</v>
      </c>
      <c r="K5" s="57">
        <v>0.129825215355924</v>
      </c>
      <c r="L5" s="57">
        <v>0.101787683226977</v>
      </c>
      <c r="M5" s="57">
        <v>0.0268946458098102</v>
      </c>
      <c r="N5" s="57">
        <v>1.41224586102481</v>
      </c>
      <c r="O5" s="57">
        <v>0.195519285826049</v>
      </c>
      <c r="P5" s="57">
        <v>0.0841527130337498</v>
      </c>
      <c r="Q5" s="57">
        <v>-0.00709647621477589</v>
      </c>
      <c r="R5" s="56">
        <v>1.77305650530862</v>
      </c>
      <c r="S5" s="56">
        <v>0.635871932473178</v>
      </c>
    </row>
    <row r="6" spans="1:19" s="11" customFormat="1" ht="12.75">
      <c r="A6" s="54" t="s">
        <v>8</v>
      </c>
      <c r="B6" s="55">
        <v>20</v>
      </c>
      <c r="C6" s="56">
        <v>1.4875</v>
      </c>
      <c r="D6" s="56">
        <v>0.757364414325</v>
      </c>
      <c r="E6" s="57">
        <v>0.34915</v>
      </c>
      <c r="F6" s="57">
        <v>1.83747934605868</v>
      </c>
      <c r="G6" s="57">
        <v>0.647574527233468</v>
      </c>
      <c r="H6" s="57">
        <v>0.853517959666601</v>
      </c>
      <c r="I6" s="57">
        <v>0.188028189893287</v>
      </c>
      <c r="J6" s="57">
        <v>0.243594</v>
      </c>
      <c r="K6" s="57">
        <v>0.130965826858921</v>
      </c>
      <c r="L6" s="57">
        <v>0.0795769185811373</v>
      </c>
      <c r="M6" s="57">
        <v>0.00573234145871616</v>
      </c>
      <c r="N6" s="57">
        <v>0.906850852331598</v>
      </c>
      <c r="O6" s="57">
        <v>0.132694210492739</v>
      </c>
      <c r="P6" s="57">
        <v>0.0870748635763794</v>
      </c>
      <c r="Q6" s="57">
        <v>0.0647961798007277</v>
      </c>
      <c r="R6" s="56">
        <v>2.36284833901393</v>
      </c>
      <c r="S6" s="56">
        <v>0.505813874653034</v>
      </c>
    </row>
    <row r="7" spans="1:19" s="11" customFormat="1" ht="12.75">
      <c r="A7" s="54" t="s">
        <v>9</v>
      </c>
      <c r="B7" s="55">
        <v>54</v>
      </c>
      <c r="C7" s="56">
        <v>1.55833333333333</v>
      </c>
      <c r="D7" s="56">
        <v>1.10215116672325</v>
      </c>
      <c r="E7" s="57">
        <v>0.520422222222222</v>
      </c>
      <c r="F7" s="57">
        <v>0.941887983813721</v>
      </c>
      <c r="G7" s="57">
        <v>0.485037237814266</v>
      </c>
      <c r="H7" s="57">
        <v>0.197924063265077</v>
      </c>
      <c r="I7" s="57">
        <v>0.218064263713559</v>
      </c>
      <c r="J7" s="57">
        <v>0.196118827160494</v>
      </c>
      <c r="K7" s="57">
        <v>0.0765172752492709</v>
      </c>
      <c r="L7" s="57">
        <v>0.0556084795394535</v>
      </c>
      <c r="M7" s="57">
        <v>0.00899794127320069</v>
      </c>
      <c r="N7" s="57">
        <v>0.947338129496403</v>
      </c>
      <c r="O7" s="57">
        <v>0.0644108959913548</v>
      </c>
      <c r="P7" s="57">
        <v>0.1795395675481</v>
      </c>
      <c r="Q7" s="57">
        <v>-0.0419600673290022</v>
      </c>
      <c r="R7" s="56">
        <v>3.92142107677743</v>
      </c>
      <c r="S7" s="56">
        <v>0.288283065129298</v>
      </c>
    </row>
    <row r="8" spans="1:19" s="11" customFormat="1" ht="12.75">
      <c r="A8" s="54" t="s">
        <v>10</v>
      </c>
      <c r="B8" s="55">
        <v>477</v>
      </c>
      <c r="C8" s="56">
        <v>0.714692482915716</v>
      </c>
      <c r="D8" s="56">
        <v>0.469683684460866</v>
      </c>
      <c r="E8" s="57">
        <v>0.274864610389611</v>
      </c>
      <c r="F8" s="57">
        <v>0.915224941013732</v>
      </c>
      <c r="G8" s="57">
        <v>0.477868119516709</v>
      </c>
      <c r="H8" s="57">
        <v>0.145772341324192</v>
      </c>
      <c r="I8" s="57" t="s">
        <v>16</v>
      </c>
      <c r="J8" s="57">
        <v>0.259141153039832</v>
      </c>
      <c r="K8" s="57" t="s">
        <v>16</v>
      </c>
      <c r="L8" s="57" t="s">
        <v>16</v>
      </c>
      <c r="M8" s="57" t="s">
        <v>16</v>
      </c>
      <c r="N8" s="57" t="s">
        <v>16</v>
      </c>
      <c r="O8" s="57" t="s">
        <v>16</v>
      </c>
      <c r="P8" s="57">
        <v>0.360689183817009</v>
      </c>
      <c r="Q8" s="57">
        <v>0</v>
      </c>
      <c r="R8" s="56" t="s">
        <v>16</v>
      </c>
      <c r="S8" s="56" t="s">
        <v>16</v>
      </c>
    </row>
    <row r="9" spans="1:19" s="11" customFormat="1" ht="12.75">
      <c r="A9" s="54" t="s">
        <v>11</v>
      </c>
      <c r="B9" s="55">
        <v>8</v>
      </c>
      <c r="C9" s="56">
        <v>0.857142857142857</v>
      </c>
      <c r="D9" s="56">
        <v>0.825810163022402</v>
      </c>
      <c r="E9" s="57">
        <v>0.178475</v>
      </c>
      <c r="F9" s="57">
        <v>0.103614118397312</v>
      </c>
      <c r="G9" s="57">
        <v>0.0938861841925165</v>
      </c>
      <c r="H9" s="57">
        <v>0.231900142287355</v>
      </c>
      <c r="I9" s="57" t="s">
        <v>16</v>
      </c>
      <c r="J9" s="57">
        <v>0.15077875</v>
      </c>
      <c r="K9" s="57" t="s">
        <v>16</v>
      </c>
      <c r="L9" s="57" t="s">
        <v>16</v>
      </c>
      <c r="M9" s="57" t="s">
        <v>16</v>
      </c>
      <c r="N9" s="57" t="s">
        <v>16</v>
      </c>
      <c r="O9" s="57" t="s">
        <v>16</v>
      </c>
      <c r="P9" s="57">
        <v>0.467534903548972</v>
      </c>
      <c r="Q9" s="57">
        <v>0</v>
      </c>
      <c r="R9" s="56" t="s">
        <v>16</v>
      </c>
      <c r="S9" s="56" t="s">
        <v>16</v>
      </c>
    </row>
    <row r="10" spans="1:19" s="11" customFormat="1" ht="12.75">
      <c r="A10" s="54" t="s">
        <v>12</v>
      </c>
      <c r="B10" s="55">
        <v>39</v>
      </c>
      <c r="C10" s="56">
        <v>0.907894736842105</v>
      </c>
      <c r="D10" s="56">
        <v>0.66373349256732</v>
      </c>
      <c r="E10" s="57">
        <v>0.271275</v>
      </c>
      <c r="F10" s="57">
        <v>0.689756146095358</v>
      </c>
      <c r="G10" s="57">
        <v>0.408198631316849</v>
      </c>
      <c r="H10" s="57">
        <v>0.171884911809956</v>
      </c>
      <c r="I10" s="57" t="s">
        <v>16</v>
      </c>
      <c r="J10" s="57">
        <v>0.268103076923077</v>
      </c>
      <c r="K10" s="57" t="s">
        <v>16</v>
      </c>
      <c r="L10" s="57" t="s">
        <v>16</v>
      </c>
      <c r="M10" s="57" t="s">
        <v>16</v>
      </c>
      <c r="N10" s="57" t="s">
        <v>16</v>
      </c>
      <c r="O10" s="57" t="s">
        <v>16</v>
      </c>
      <c r="P10" s="57">
        <v>0.546432116571574</v>
      </c>
      <c r="Q10" s="57">
        <v>0</v>
      </c>
      <c r="R10" s="56" t="s">
        <v>16</v>
      </c>
      <c r="S10" s="56" t="s">
        <v>16</v>
      </c>
    </row>
    <row r="11" spans="1:19" s="11" customFormat="1" ht="12.75">
      <c r="A11" s="54" t="s">
        <v>199</v>
      </c>
      <c r="B11" s="55">
        <v>41</v>
      </c>
      <c r="C11" s="56">
        <v>0.948888888888889</v>
      </c>
      <c r="D11" s="56">
        <v>0.846237767527468</v>
      </c>
      <c r="E11" s="57">
        <v>0.545307407407408</v>
      </c>
      <c r="F11" s="57">
        <v>0.190245147663372</v>
      </c>
      <c r="G11" s="57">
        <v>0.159836944546131</v>
      </c>
      <c r="H11" s="57">
        <v>0.248462339453842</v>
      </c>
      <c r="I11" s="57">
        <v>0.189820265086885</v>
      </c>
      <c r="J11" s="57">
        <v>0.164618780487805</v>
      </c>
      <c r="K11" s="57">
        <v>0.199985728005721</v>
      </c>
      <c r="L11" s="57">
        <v>0.147461407916299</v>
      </c>
      <c r="M11" s="57">
        <v>0.0577209324861377</v>
      </c>
      <c r="N11" s="57">
        <v>1.15007776049767</v>
      </c>
      <c r="O11" s="57">
        <v>0.0515979569047987</v>
      </c>
      <c r="P11" s="57">
        <v>0.23378107407919</v>
      </c>
      <c r="Q11" s="57">
        <v>0.0525884293778983</v>
      </c>
      <c r="R11" s="56">
        <v>1.28725385013704</v>
      </c>
      <c r="S11" s="56">
        <v>1.98941219133942</v>
      </c>
    </row>
    <row r="12" spans="1:19" s="11" customFormat="1" ht="12.75">
      <c r="A12" s="54" t="s">
        <v>13</v>
      </c>
      <c r="B12" s="55">
        <v>108</v>
      </c>
      <c r="C12" s="56">
        <v>1.24916666666667</v>
      </c>
      <c r="D12" s="56">
        <v>1.27494035832328</v>
      </c>
      <c r="E12" s="57">
        <v>0.698518333333333</v>
      </c>
      <c r="F12" s="57">
        <v>0.099838587162932</v>
      </c>
      <c r="G12" s="57">
        <v>0.090775672292485</v>
      </c>
      <c r="H12" s="57">
        <v>0.221597300337458</v>
      </c>
      <c r="I12" s="57">
        <v>0.147821154182121</v>
      </c>
      <c r="J12" s="57">
        <v>0.0358591666666667</v>
      </c>
      <c r="K12" s="57">
        <v>0.269128791560112</v>
      </c>
      <c r="L12" s="57">
        <v>0.169001055879317</v>
      </c>
      <c r="M12" s="57">
        <v>0.0832789594676731</v>
      </c>
      <c r="N12" s="57">
        <v>1.28271456123433</v>
      </c>
      <c r="O12" s="57">
        <v>0.0460058739728125</v>
      </c>
      <c r="P12" s="57">
        <v>0.00489847715736041</v>
      </c>
      <c r="Q12" s="57">
        <v>0.0679035218868658</v>
      </c>
      <c r="R12" s="56">
        <v>0.874675920887021</v>
      </c>
      <c r="S12" s="56">
        <v>5.71454438422993</v>
      </c>
    </row>
    <row r="13" spans="1:19" s="11" customFormat="1" ht="12.75">
      <c r="A13" s="54" t="s">
        <v>14</v>
      </c>
      <c r="B13" s="55">
        <v>52</v>
      </c>
      <c r="C13" s="56">
        <v>1.39068965517241</v>
      </c>
      <c r="D13" s="56">
        <v>0.802634747543158</v>
      </c>
      <c r="E13" s="57">
        <v>0.619634482758621</v>
      </c>
      <c r="F13" s="57">
        <v>1.03105992547974</v>
      </c>
      <c r="G13" s="57">
        <v>0.507646235615723</v>
      </c>
      <c r="H13" s="57">
        <v>0.130325734703487</v>
      </c>
      <c r="I13" s="57">
        <v>0.113547168035116</v>
      </c>
      <c r="J13" s="57">
        <v>0.184365769230769</v>
      </c>
      <c r="K13" s="57">
        <v>0.140430273256639</v>
      </c>
      <c r="L13" s="57">
        <v>0.10514899019032</v>
      </c>
      <c r="M13" s="57">
        <v>0.0223322605894925</v>
      </c>
      <c r="N13" s="57">
        <v>1.30857015924142</v>
      </c>
      <c r="O13" s="57">
        <v>0.0663664199486073</v>
      </c>
      <c r="P13" s="57">
        <v>0.143031252988746</v>
      </c>
      <c r="Q13" s="57">
        <v>0.0920751078765658</v>
      </c>
      <c r="R13" s="56">
        <v>1.07986931524112</v>
      </c>
      <c r="S13" s="56">
        <v>0.845239010019367</v>
      </c>
    </row>
    <row r="14" spans="1:19" s="11" customFormat="1" ht="12.75">
      <c r="A14" s="54" t="s">
        <v>15</v>
      </c>
      <c r="B14" s="55">
        <v>25</v>
      </c>
      <c r="C14" s="56">
        <v>1.55666666666667</v>
      </c>
      <c r="D14" s="56">
        <v>0.951149564177607</v>
      </c>
      <c r="E14" s="57">
        <v>0.449105555555555</v>
      </c>
      <c r="F14" s="57">
        <v>0.887728233184438</v>
      </c>
      <c r="G14" s="57">
        <v>0.470262730396798</v>
      </c>
      <c r="H14" s="57">
        <v>0.0699569597816866</v>
      </c>
      <c r="I14" s="57">
        <v>0.109090925327259</v>
      </c>
      <c r="J14" s="57">
        <v>0.229707466666667</v>
      </c>
      <c r="K14" s="57">
        <v>0.344060689307068</v>
      </c>
      <c r="L14" s="57">
        <v>0.194912837318597</v>
      </c>
      <c r="M14" s="57">
        <v>0.0328057551979268</v>
      </c>
      <c r="N14" s="57">
        <v>1.02789090530421</v>
      </c>
      <c r="O14" s="57">
        <v>-0.105657649287386</v>
      </c>
      <c r="P14" s="57">
        <v>0.117818317452782</v>
      </c>
      <c r="Q14" s="57">
        <v>0.0361448290994311</v>
      </c>
      <c r="R14" s="56">
        <v>0.55969081784461</v>
      </c>
      <c r="S14" s="56">
        <v>2.19626655689725</v>
      </c>
    </row>
    <row r="15" spans="1:19" s="11" customFormat="1" ht="12.75">
      <c r="A15" s="54" t="s">
        <v>17</v>
      </c>
      <c r="B15" s="55">
        <v>12</v>
      </c>
      <c r="C15" s="56">
        <v>1.219</v>
      </c>
      <c r="D15" s="56">
        <v>0.987256476403178</v>
      </c>
      <c r="E15" s="57">
        <v>0.33844</v>
      </c>
      <c r="F15" s="57">
        <v>0.356954336996114</v>
      </c>
      <c r="G15" s="57">
        <v>0.263055526088153</v>
      </c>
      <c r="H15" s="57">
        <v>0.2082683120325</v>
      </c>
      <c r="I15" s="57">
        <v>0.253451731135915</v>
      </c>
      <c r="J15" s="57">
        <v>0.278181666666667</v>
      </c>
      <c r="K15" s="57">
        <v>0.406588900780285</v>
      </c>
      <c r="L15" s="57">
        <v>0.288397274087282</v>
      </c>
      <c r="M15" s="57">
        <v>0.09481392100313</v>
      </c>
      <c r="N15" s="57">
        <v>2.11399894656757</v>
      </c>
      <c r="O15" s="57">
        <v>-0.0537307066371282</v>
      </c>
      <c r="P15" s="57">
        <v>0.114466530973173</v>
      </c>
      <c r="Q15" s="57">
        <v>0.280986824048742</v>
      </c>
      <c r="R15" s="56">
        <v>0.878828456121984</v>
      </c>
      <c r="S15" s="56">
        <v>1.61463154072141</v>
      </c>
    </row>
    <row r="16" spans="1:19" s="11" customFormat="1" ht="12.75">
      <c r="A16" s="54" t="s">
        <v>18</v>
      </c>
      <c r="B16" s="55">
        <v>19</v>
      </c>
      <c r="C16" s="56">
        <v>1.26176470588235</v>
      </c>
      <c r="D16" s="56">
        <v>1.10481925914668</v>
      </c>
      <c r="E16" s="57">
        <v>0.370866666666667</v>
      </c>
      <c r="F16" s="57">
        <v>0.291112622273369</v>
      </c>
      <c r="G16" s="57">
        <v>0.22547422839131</v>
      </c>
      <c r="H16" s="57">
        <v>0.253347850011606</v>
      </c>
      <c r="I16" s="57">
        <v>0.219583842914945</v>
      </c>
      <c r="J16" s="57">
        <v>0.192945263157895</v>
      </c>
      <c r="K16" s="57">
        <v>0.150520953147765</v>
      </c>
      <c r="L16" s="57">
        <v>0.119653471819646</v>
      </c>
      <c r="M16" s="57">
        <v>0.0640151102393665</v>
      </c>
      <c r="N16" s="57">
        <v>1.09342859612227</v>
      </c>
      <c r="O16" s="57">
        <v>0.111608328389412</v>
      </c>
      <c r="P16" s="57">
        <v>0.163690043765203</v>
      </c>
      <c r="Q16" s="57">
        <v>-0.0647144593165719</v>
      </c>
      <c r="R16" s="56">
        <v>1.83516482702587</v>
      </c>
      <c r="S16" s="56">
        <v>0.875150840063121</v>
      </c>
    </row>
    <row r="17" spans="1:19" s="11" customFormat="1" ht="12.75">
      <c r="A17" s="54" t="s">
        <v>19</v>
      </c>
      <c r="B17" s="55">
        <v>33</v>
      </c>
      <c r="C17" s="56">
        <v>1.21304347826087</v>
      </c>
      <c r="D17" s="56">
        <v>1.09801730296857</v>
      </c>
      <c r="E17" s="57">
        <v>0.394704347826087</v>
      </c>
      <c r="F17" s="57">
        <v>0.267016149629372</v>
      </c>
      <c r="G17" s="57">
        <v>0.210744077498523</v>
      </c>
      <c r="H17" s="57">
        <v>0.264515584148527</v>
      </c>
      <c r="I17" s="57">
        <v>0.236702829711958</v>
      </c>
      <c r="J17" s="57">
        <v>0.254744223443943</v>
      </c>
      <c r="K17" s="57">
        <v>0.19871120473699</v>
      </c>
      <c r="L17" s="57">
        <v>0.141363953117615</v>
      </c>
      <c r="M17" s="57">
        <v>0.0555438683305799</v>
      </c>
      <c r="N17" s="57">
        <v>1.18689193430275</v>
      </c>
      <c r="O17" s="57">
        <v>0.138751192337096</v>
      </c>
      <c r="P17" s="57">
        <v>0.197450683695426</v>
      </c>
      <c r="Q17" s="57">
        <v>-0.0991990765688954</v>
      </c>
      <c r="R17" s="56">
        <v>1.67442141006782</v>
      </c>
      <c r="S17" s="56">
        <v>1.15352567440892</v>
      </c>
    </row>
    <row r="18" spans="1:19" s="11" customFormat="1" ht="12.75">
      <c r="A18" s="54" t="s">
        <v>20</v>
      </c>
      <c r="B18" s="55">
        <v>88</v>
      </c>
      <c r="C18" s="56">
        <v>1.18460317460318</v>
      </c>
      <c r="D18" s="56">
        <v>0.975238041078214</v>
      </c>
      <c r="E18" s="57">
        <v>0.576057142857143</v>
      </c>
      <c r="F18" s="57">
        <v>0.357412657576216</v>
      </c>
      <c r="G18" s="57">
        <v>0.263304350067288</v>
      </c>
      <c r="H18" s="57">
        <v>0.188786239481537</v>
      </c>
      <c r="I18" s="57">
        <v>0.179345727748428</v>
      </c>
      <c r="J18" s="57">
        <v>0.189885795454545</v>
      </c>
      <c r="K18" s="57">
        <v>0.140755039898859</v>
      </c>
      <c r="L18" s="57">
        <v>0.0975257555665718</v>
      </c>
      <c r="M18" s="57">
        <v>0.0268576243967276</v>
      </c>
      <c r="N18" s="57">
        <v>1.09813846299551</v>
      </c>
      <c r="O18" s="57">
        <v>0.116443662422589</v>
      </c>
      <c r="P18" s="57">
        <v>0.177340722213787</v>
      </c>
      <c r="Q18" s="57">
        <v>-0.0232156102513524</v>
      </c>
      <c r="R18" s="56">
        <v>1.83895758311767</v>
      </c>
      <c r="S18" s="56">
        <v>0.903439772962536</v>
      </c>
    </row>
    <row r="19" spans="1:19" s="11" customFormat="1" ht="12.75">
      <c r="A19" s="54" t="s">
        <v>21</v>
      </c>
      <c r="B19" s="55">
        <v>18</v>
      </c>
      <c r="C19" s="56">
        <v>1.98428571428571</v>
      </c>
      <c r="D19" s="56">
        <v>1.43275022973871</v>
      </c>
      <c r="E19" s="57">
        <v>0.494057142857143</v>
      </c>
      <c r="F19" s="57">
        <v>0.480215847096589</v>
      </c>
      <c r="G19" s="57">
        <v>0.324422852274228</v>
      </c>
      <c r="H19" s="57">
        <v>0.139647617162211</v>
      </c>
      <c r="I19" s="57">
        <v>0.20130106327222</v>
      </c>
      <c r="J19" s="57">
        <v>0.105196733953357</v>
      </c>
      <c r="K19" s="57">
        <v>0.180536406400624</v>
      </c>
      <c r="L19" s="57">
        <v>0.157618821596724</v>
      </c>
      <c r="M19" s="57">
        <v>0.0453309945000068</v>
      </c>
      <c r="N19" s="57">
        <v>1.39174022262681</v>
      </c>
      <c r="O19" s="57">
        <v>0.0469344347486752</v>
      </c>
      <c r="P19" s="57">
        <v>0.207053639846743</v>
      </c>
      <c r="Q19" s="57">
        <v>0.0534699559222184</v>
      </c>
      <c r="R19" s="56">
        <v>1.27713848659051</v>
      </c>
      <c r="S19" s="56">
        <v>1.2607560896922</v>
      </c>
    </row>
    <row r="20" spans="1:19" s="11" customFormat="1" ht="12.75">
      <c r="A20" s="54" t="s">
        <v>219</v>
      </c>
      <c r="B20" s="55">
        <v>322</v>
      </c>
      <c r="C20" s="56">
        <v>1.22326315789474</v>
      </c>
      <c r="D20" s="56">
        <v>1.33004580517587</v>
      </c>
      <c r="E20" s="57">
        <v>0.713795287958115</v>
      </c>
      <c r="F20" s="57">
        <v>0.0776802344869748</v>
      </c>
      <c r="G20" s="57">
        <v>0.0720809679913579</v>
      </c>
      <c r="H20" s="57">
        <v>0.474928607106999</v>
      </c>
      <c r="I20" s="57">
        <v>0.366414400385907</v>
      </c>
      <c r="J20" s="57">
        <v>0.126493416149068</v>
      </c>
      <c r="K20" s="57">
        <v>0.245142385509994</v>
      </c>
      <c r="L20" s="57">
        <v>0.172437865211966</v>
      </c>
      <c r="M20" s="57">
        <v>0.0823768076752343</v>
      </c>
      <c r="N20" s="57">
        <v>0.89634912091855</v>
      </c>
      <c r="O20" s="57">
        <v>-0.0637135182533778</v>
      </c>
      <c r="P20" s="57">
        <v>0.101670103832052</v>
      </c>
      <c r="Q20" s="57">
        <v>-0.0095742755319498</v>
      </c>
      <c r="R20" s="56">
        <v>2.12490684650671</v>
      </c>
      <c r="S20" s="56">
        <v>1.93400530579644</v>
      </c>
    </row>
    <row r="21" spans="1:19" s="11" customFormat="1" ht="12.75">
      <c r="A21" s="54" t="s">
        <v>220</v>
      </c>
      <c r="B21" s="55">
        <v>125</v>
      </c>
      <c r="C21" s="56">
        <v>1.29494736842105</v>
      </c>
      <c r="D21" s="56">
        <v>1.38723803922825</v>
      </c>
      <c r="E21" s="57">
        <v>0.829629473684211</v>
      </c>
      <c r="F21" s="57">
        <v>0.183572831414134</v>
      </c>
      <c r="G21" s="57">
        <v>0.155100578977299</v>
      </c>
      <c r="H21" s="57">
        <v>0.491352873445284</v>
      </c>
      <c r="I21" s="57">
        <v>0.329626625178272</v>
      </c>
      <c r="J21" s="57">
        <v>0.09895568</v>
      </c>
      <c r="K21" s="57">
        <v>0.116052544155911</v>
      </c>
      <c r="L21" s="57">
        <v>0.0877998558017346</v>
      </c>
      <c r="M21" s="57">
        <v>0.0355318867269108</v>
      </c>
      <c r="N21" s="57">
        <v>0.952685788880999</v>
      </c>
      <c r="O21" s="57">
        <v>-0.00686398891497224</v>
      </c>
      <c r="P21" s="57">
        <v>0.0632564799469672</v>
      </c>
      <c r="Q21" s="57">
        <v>-0.0184142424699465</v>
      </c>
      <c r="R21" s="56">
        <v>3.75429574648299</v>
      </c>
      <c r="S21" s="56">
        <v>0.699143111733622</v>
      </c>
    </row>
    <row r="22" spans="1:19" s="11" customFormat="1" ht="12.75">
      <c r="A22" s="54" t="s">
        <v>22</v>
      </c>
      <c r="B22" s="55">
        <v>113</v>
      </c>
      <c r="C22" s="56">
        <v>1.24848837209302</v>
      </c>
      <c r="D22" s="56">
        <v>0.604735161566635</v>
      </c>
      <c r="E22" s="57">
        <v>0.485058139534884</v>
      </c>
      <c r="F22" s="57">
        <v>1.60980623738154</v>
      </c>
      <c r="G22" s="57">
        <v>0.616829791546779</v>
      </c>
      <c r="H22" s="57">
        <v>0.291248462915117</v>
      </c>
      <c r="I22" s="57">
        <v>0.107940807170597</v>
      </c>
      <c r="J22" s="57">
        <v>0.202277610619469</v>
      </c>
      <c r="K22" s="57">
        <v>0.22385774725203</v>
      </c>
      <c r="L22" s="57">
        <v>0.179315634147057</v>
      </c>
      <c r="M22" s="57">
        <v>0.0485280935111061</v>
      </c>
      <c r="N22" s="57">
        <v>1.46860989085639</v>
      </c>
      <c r="O22" s="57">
        <v>0.912386742263887</v>
      </c>
      <c r="P22" s="57">
        <v>0.201165675421668</v>
      </c>
      <c r="Q22" s="57">
        <v>-0.127462406024278</v>
      </c>
      <c r="R22" s="56">
        <v>0.601959821763644</v>
      </c>
      <c r="S22" s="56">
        <v>1.9551203578682</v>
      </c>
    </row>
    <row r="23" spans="1:19" s="11" customFormat="1" ht="12.75">
      <c r="A23" s="54" t="s">
        <v>23</v>
      </c>
      <c r="B23" s="55">
        <v>342</v>
      </c>
      <c r="C23" s="56">
        <v>1.16192893401015</v>
      </c>
      <c r="D23" s="56">
        <v>1.14493112887987</v>
      </c>
      <c r="E23" s="57">
        <v>0.969942713567839</v>
      </c>
      <c r="F23" s="57">
        <v>0.145056662166712</v>
      </c>
      <c r="G23" s="57">
        <v>0.126680772191859</v>
      </c>
      <c r="H23" s="57">
        <v>0.262306854060763</v>
      </c>
      <c r="I23" s="57">
        <v>0.2257433990127</v>
      </c>
      <c r="J23" s="57">
        <v>0.0595765497076023</v>
      </c>
      <c r="K23" s="57">
        <v>0.301472431996174</v>
      </c>
      <c r="L23" s="57">
        <v>0.226472252791761</v>
      </c>
      <c r="M23" s="57">
        <v>0.0837516583289573</v>
      </c>
      <c r="N23" s="57">
        <v>0.617228526089617</v>
      </c>
      <c r="O23" s="57">
        <v>0.10482477484236</v>
      </c>
      <c r="P23" s="57">
        <v>0.259854534190808</v>
      </c>
      <c r="Q23" s="57">
        <v>-0.0583284423321219</v>
      </c>
      <c r="R23" s="56">
        <v>0.99678170826635</v>
      </c>
      <c r="S23" s="56">
        <v>2.63103241835691</v>
      </c>
    </row>
    <row r="24" spans="1:19" s="11" customFormat="1" ht="12.75">
      <c r="A24" s="54" t="s">
        <v>24</v>
      </c>
      <c r="B24" s="55">
        <v>54</v>
      </c>
      <c r="C24" s="56">
        <v>1.4972</v>
      </c>
      <c r="D24" s="56">
        <v>1.76321385491568</v>
      </c>
      <c r="E24" s="57">
        <v>0.571812</v>
      </c>
      <c r="F24" s="57">
        <v>0.11431845406747</v>
      </c>
      <c r="G24" s="57">
        <v>0.102590470121163</v>
      </c>
      <c r="H24" s="57">
        <v>0.100991748050572</v>
      </c>
      <c r="I24" s="57">
        <v>0.125443726634855</v>
      </c>
      <c r="J24" s="57">
        <v>0.130852777777778</v>
      </c>
      <c r="K24" s="57">
        <v>0.126850870579858</v>
      </c>
      <c r="L24" s="57">
        <v>0.0875976284598147</v>
      </c>
      <c r="M24" s="57">
        <v>0.0337550456478747</v>
      </c>
      <c r="N24" s="57">
        <v>1.46248337375792</v>
      </c>
      <c r="O24" s="57">
        <v>-0.140682144501937</v>
      </c>
      <c r="P24" s="57">
        <v>0.0120414792603698</v>
      </c>
      <c r="Q24" s="57">
        <v>0.0842473886414898</v>
      </c>
      <c r="R24" s="56">
        <v>1.43204478066894</v>
      </c>
      <c r="S24" s="56">
        <v>1.85747955617649</v>
      </c>
    </row>
    <row r="25" spans="1:19" s="11" customFormat="1" ht="12.75">
      <c r="A25" s="54" t="s">
        <v>25</v>
      </c>
      <c r="B25" s="55">
        <v>34</v>
      </c>
      <c r="C25" s="56">
        <v>0.836538461538461</v>
      </c>
      <c r="D25" s="56">
        <v>0.889976705625649</v>
      </c>
      <c r="E25" s="57">
        <v>0.528109090909091</v>
      </c>
      <c r="F25" s="57">
        <v>0.02223514993562</v>
      </c>
      <c r="G25" s="57">
        <v>0.0217515020267307</v>
      </c>
      <c r="H25" s="57">
        <v>0.488864455153699</v>
      </c>
      <c r="I25" s="57">
        <v>0.468439273052853</v>
      </c>
      <c r="J25" s="57">
        <v>0.208041470588235</v>
      </c>
      <c r="K25" s="57">
        <v>0.173635512389828</v>
      </c>
      <c r="L25" s="57">
        <v>0.116936378639286</v>
      </c>
      <c r="M25" s="57">
        <v>0.0563186317006213</v>
      </c>
      <c r="N25" s="57">
        <v>1.06442609605768</v>
      </c>
      <c r="O25" s="57">
        <v>-0.11476394307181</v>
      </c>
      <c r="P25" s="57">
        <v>0.023134421208786</v>
      </c>
      <c r="Q25" s="57">
        <v>0.0563030068121534</v>
      </c>
      <c r="R25" s="56">
        <v>4.00593278587708</v>
      </c>
      <c r="S25" s="56">
        <v>2.74824357029331</v>
      </c>
    </row>
    <row r="26" spans="1:19" s="11" customFormat="1" ht="12.75">
      <c r="A26" s="54" t="s">
        <v>26</v>
      </c>
      <c r="B26" s="55">
        <v>24</v>
      </c>
      <c r="C26" s="56">
        <v>0.822727272727273</v>
      </c>
      <c r="D26" s="56">
        <v>0.489256218538119</v>
      </c>
      <c r="E26" s="57">
        <v>0.210872727272727</v>
      </c>
      <c r="F26" s="57">
        <v>1.07825642903886</v>
      </c>
      <c r="G26" s="57">
        <v>0.518827423783083</v>
      </c>
      <c r="H26" s="57">
        <v>0.114630958923253</v>
      </c>
      <c r="I26" s="57">
        <v>0.102813692778361</v>
      </c>
      <c r="J26" s="57">
        <v>0.330229166666667</v>
      </c>
      <c r="K26" s="57">
        <v>0.218591559076124</v>
      </c>
      <c r="L26" s="57">
        <v>0.146665923334508</v>
      </c>
      <c r="M26" s="57">
        <v>0.0361421053501426</v>
      </c>
      <c r="N26" s="57">
        <v>2.1896697059978</v>
      </c>
      <c r="O26" s="57">
        <v>0.0539412605486891</v>
      </c>
      <c r="P26" s="57">
        <v>0.31648728572723</v>
      </c>
      <c r="Q26" s="57">
        <v>0.317890242906775</v>
      </c>
      <c r="R26" s="56">
        <v>0.701006003581818</v>
      </c>
      <c r="S26" s="56">
        <v>1.64824303582596</v>
      </c>
    </row>
    <row r="27" spans="1:19" s="11" customFormat="1" ht="12.75">
      <c r="A27" s="54" t="s">
        <v>27</v>
      </c>
      <c r="B27" s="55">
        <v>26</v>
      </c>
      <c r="C27" s="56">
        <v>0.742</v>
      </c>
      <c r="D27" s="56">
        <v>0.502219228061843</v>
      </c>
      <c r="E27" s="57">
        <v>0.222444</v>
      </c>
      <c r="F27" s="57">
        <v>0.733029799776324</v>
      </c>
      <c r="G27" s="57">
        <v>0.422975877201265</v>
      </c>
      <c r="H27" s="57">
        <v>0.133838798176088</v>
      </c>
      <c r="I27" s="57">
        <v>0.116374272413485</v>
      </c>
      <c r="J27" s="57">
        <v>0.320915</v>
      </c>
      <c r="K27" s="57">
        <v>0.258473303717411</v>
      </c>
      <c r="L27" s="57">
        <v>0.172397092491822</v>
      </c>
      <c r="M27" s="57">
        <v>0.0448719558536827</v>
      </c>
      <c r="N27" s="57">
        <v>2.06282593873427</v>
      </c>
      <c r="O27" s="57">
        <v>0.0563925585698708</v>
      </c>
      <c r="P27" s="57">
        <v>0.295177612941152</v>
      </c>
      <c r="Q27" s="57">
        <v>0.258196134414405</v>
      </c>
      <c r="R27" s="56">
        <v>0.675036166395935</v>
      </c>
      <c r="S27" s="56">
        <v>1.93306122988468</v>
      </c>
    </row>
    <row r="28" spans="1:19" s="11" customFormat="1" ht="12.75">
      <c r="A28" s="54" t="s">
        <v>129</v>
      </c>
      <c r="B28" s="55">
        <v>16</v>
      </c>
      <c r="C28" s="56">
        <v>0.786666666666667</v>
      </c>
      <c r="D28" s="56">
        <v>0.496392790036032</v>
      </c>
      <c r="E28" s="57">
        <v>0.186366666666667</v>
      </c>
      <c r="F28" s="57">
        <v>0.907045146713461</v>
      </c>
      <c r="G28" s="57">
        <v>0.475628565100639</v>
      </c>
      <c r="H28" s="57">
        <v>0.108920335265139</v>
      </c>
      <c r="I28" s="57">
        <v>0.115242995804499</v>
      </c>
      <c r="J28" s="57">
        <v>0.304709375</v>
      </c>
      <c r="K28" s="57">
        <v>0.243827231433571</v>
      </c>
      <c r="L28" s="57">
        <v>0.165076442369297</v>
      </c>
      <c r="M28" s="57">
        <v>0.0371529703126751</v>
      </c>
      <c r="N28" s="57">
        <v>2.18343835576102</v>
      </c>
      <c r="O28" s="57">
        <v>0.0149557117861524</v>
      </c>
      <c r="P28" s="57">
        <v>0.247739219041393</v>
      </c>
      <c r="Q28" s="57">
        <v>0.349489230013883</v>
      </c>
      <c r="R28" s="56">
        <v>0.698118969311716</v>
      </c>
      <c r="S28" s="56">
        <v>1.56958909501495</v>
      </c>
    </row>
    <row r="29" spans="1:19" s="11" customFormat="1" ht="12.75">
      <c r="A29" s="54" t="s">
        <v>130</v>
      </c>
      <c r="B29" s="55">
        <v>83</v>
      </c>
      <c r="C29" s="56">
        <v>1.3725</v>
      </c>
      <c r="D29" s="56">
        <v>1.25922429556321</v>
      </c>
      <c r="E29" s="57">
        <v>0.573075</v>
      </c>
      <c r="F29" s="57">
        <v>0.235302962409164</v>
      </c>
      <c r="G29" s="57">
        <v>0.19048198666201</v>
      </c>
      <c r="H29" s="57">
        <v>0.248207088645172</v>
      </c>
      <c r="I29" s="57">
        <v>0.204997674814261</v>
      </c>
      <c r="J29" s="57">
        <v>0.142309079956188</v>
      </c>
      <c r="K29" s="57">
        <v>0.157500515037786</v>
      </c>
      <c r="L29" s="57">
        <v>0.114795047087748</v>
      </c>
      <c r="M29" s="57">
        <v>0.049610772971089</v>
      </c>
      <c r="N29" s="57">
        <v>1.26545875362719</v>
      </c>
      <c r="O29" s="57">
        <v>0.121364345401532</v>
      </c>
      <c r="P29" s="57">
        <v>0.137878700969025</v>
      </c>
      <c r="Q29" s="57">
        <v>-0.0287483312963993</v>
      </c>
      <c r="R29" s="56">
        <v>1.78577107649569</v>
      </c>
      <c r="S29" s="56">
        <v>0.997575698972262</v>
      </c>
    </row>
    <row r="30" spans="1:19" s="11" customFormat="1" ht="12.75">
      <c r="A30" s="54" t="s">
        <v>131</v>
      </c>
      <c r="B30" s="55">
        <v>173</v>
      </c>
      <c r="C30" s="56">
        <v>1.31189655172414</v>
      </c>
      <c r="D30" s="56">
        <v>1.23310674453008</v>
      </c>
      <c r="E30" s="57">
        <v>0.792623275862069</v>
      </c>
      <c r="F30" s="57">
        <v>0.456228909076009</v>
      </c>
      <c r="G30" s="57">
        <v>0.313294775452226</v>
      </c>
      <c r="H30" s="57">
        <v>0.106269244832035</v>
      </c>
      <c r="I30" s="57">
        <v>0.130068902401703</v>
      </c>
      <c r="J30" s="57">
        <v>0.118731169512031</v>
      </c>
      <c r="K30" s="57">
        <v>0.075713612722098</v>
      </c>
      <c r="L30" s="57">
        <v>0.0561365721308737</v>
      </c>
      <c r="M30" s="57">
        <v>0.0139559658662471</v>
      </c>
      <c r="N30" s="57">
        <v>1.22528648476769</v>
      </c>
      <c r="O30" s="57">
        <v>0.126475978365388</v>
      </c>
      <c r="P30" s="57">
        <v>0.0735156013042159</v>
      </c>
      <c r="Q30" s="57">
        <v>0.00487220554743338</v>
      </c>
      <c r="R30" s="56">
        <v>2.3170082793525</v>
      </c>
      <c r="S30" s="56">
        <v>0.321285215664463</v>
      </c>
    </row>
    <row r="31" spans="1:19" s="11" customFormat="1" ht="12.75">
      <c r="A31" s="54" t="s">
        <v>132</v>
      </c>
      <c r="B31" s="55">
        <v>84</v>
      </c>
      <c r="C31" s="56">
        <v>1.66217391304348</v>
      </c>
      <c r="D31" s="56">
        <v>1.08923303508893</v>
      </c>
      <c r="E31" s="57">
        <v>0.502369565217391</v>
      </c>
      <c r="F31" s="57">
        <v>0.792287197419159</v>
      </c>
      <c r="G31" s="57">
        <v>0.442053705767708</v>
      </c>
      <c r="H31" s="57">
        <v>0.080843173403336</v>
      </c>
      <c r="I31" s="57">
        <v>0.0998016740927574</v>
      </c>
      <c r="J31" s="57">
        <v>0.171670694444444</v>
      </c>
      <c r="K31" s="57">
        <v>0.237464339183451</v>
      </c>
      <c r="L31" s="57">
        <v>0.149962837290436</v>
      </c>
      <c r="M31" s="57">
        <v>0.0366313864723732</v>
      </c>
      <c r="N31" s="57">
        <v>0.910634868089639</v>
      </c>
      <c r="O31" s="57">
        <v>-0.00163808914839558</v>
      </c>
      <c r="P31" s="57">
        <v>0.119129404267885</v>
      </c>
      <c r="Q31" s="57">
        <v>-0.0154651716215058</v>
      </c>
      <c r="R31" s="56">
        <v>0.665509374829108</v>
      </c>
      <c r="S31" s="56">
        <v>1.27460022323557</v>
      </c>
    </row>
    <row r="32" spans="1:19" s="11" customFormat="1" ht="12.75">
      <c r="A32" s="54" t="s">
        <v>133</v>
      </c>
      <c r="B32" s="55">
        <v>33</v>
      </c>
      <c r="C32" s="56">
        <v>1.44565217391304</v>
      </c>
      <c r="D32" s="56">
        <v>2.32702062907087</v>
      </c>
      <c r="E32" s="57">
        <v>0.707913043478261</v>
      </c>
      <c r="F32" s="57">
        <v>0.115421228705867</v>
      </c>
      <c r="G32" s="57">
        <v>0.103477704866511</v>
      </c>
      <c r="H32" s="57">
        <v>-0.0508651169146156</v>
      </c>
      <c r="I32" s="57">
        <v>0.0451330474545059</v>
      </c>
      <c r="J32" s="57">
        <v>0.136676363636364</v>
      </c>
      <c r="K32" s="57">
        <v>0.0392783046245641</v>
      </c>
      <c r="L32" s="57">
        <v>0.0177317179739386</v>
      </c>
      <c r="M32" s="57">
        <v>-0.0145345765219441</v>
      </c>
      <c r="N32" s="57">
        <v>0.668381742738589</v>
      </c>
      <c r="O32" s="57">
        <v>-0.060296544380045</v>
      </c>
      <c r="P32" s="57" t="s">
        <v>16</v>
      </c>
      <c r="Q32" s="57">
        <v>0.51099442381944</v>
      </c>
      <c r="R32" s="56">
        <v>2.54532851925803</v>
      </c>
      <c r="S32" s="56">
        <v>0.847525138801954</v>
      </c>
    </row>
    <row r="33" spans="1:19" s="11" customFormat="1" ht="12.75">
      <c r="A33" s="54" t="s">
        <v>134</v>
      </c>
      <c r="B33" s="55">
        <v>79</v>
      </c>
      <c r="C33" s="56">
        <v>1.10911111111111</v>
      </c>
      <c r="D33" s="56">
        <v>0.798206943487282</v>
      </c>
      <c r="E33" s="57">
        <v>0.871946666666667</v>
      </c>
      <c r="F33" s="57">
        <v>0.498590014832872</v>
      </c>
      <c r="G33" s="57">
        <v>0.332706083650555</v>
      </c>
      <c r="H33" s="57">
        <v>0.143365546469799</v>
      </c>
      <c r="I33" s="57">
        <v>0.136664131694099</v>
      </c>
      <c r="J33" s="57">
        <v>0.15449329113924</v>
      </c>
      <c r="K33" s="57">
        <v>0.218479617888427</v>
      </c>
      <c r="L33" s="57">
        <v>0.134168090103816</v>
      </c>
      <c r="M33" s="57">
        <v>0.0348382871656184</v>
      </c>
      <c r="N33" s="57">
        <v>0.994246544555568</v>
      </c>
      <c r="O33" s="57">
        <v>0.0348331973213846</v>
      </c>
      <c r="P33" s="57">
        <v>0.221130613582859</v>
      </c>
      <c r="Q33" s="57">
        <v>-0.0443373010802707</v>
      </c>
      <c r="R33" s="56">
        <v>1.0186038393209</v>
      </c>
      <c r="S33" s="56">
        <v>1.72907777112328</v>
      </c>
    </row>
    <row r="34" spans="1:19" s="11" customFormat="1" ht="12.75">
      <c r="A34" s="54" t="s">
        <v>135</v>
      </c>
      <c r="B34" s="55">
        <v>296</v>
      </c>
      <c r="C34" s="56">
        <v>1.26875</v>
      </c>
      <c r="D34" s="56">
        <v>0.44804787434227</v>
      </c>
      <c r="E34" s="57">
        <v>0.62775724137931</v>
      </c>
      <c r="F34" s="57">
        <v>2.61384139312017</v>
      </c>
      <c r="G34" s="57">
        <v>0.723286140364725</v>
      </c>
      <c r="H34" s="57">
        <v>0.149071065608651</v>
      </c>
      <c r="I34" s="57">
        <v>0.12328240312326</v>
      </c>
      <c r="J34" s="57">
        <v>0.179272567567567</v>
      </c>
      <c r="K34" s="57">
        <v>0.856814371773134</v>
      </c>
      <c r="L34" s="57">
        <v>0.765908222026831</v>
      </c>
      <c r="M34" s="57">
        <v>-0.226047602299163</v>
      </c>
      <c r="N34" s="57">
        <v>2.58581372044525</v>
      </c>
      <c r="O34" s="57">
        <v>0.287450276882024</v>
      </c>
      <c r="P34" s="57">
        <v>0.22828359562335</v>
      </c>
      <c r="Q34" s="57">
        <v>-6.12731307844984</v>
      </c>
      <c r="R34" s="56">
        <v>0.160962370657175</v>
      </c>
      <c r="S34" s="56">
        <v>6.95796353606157</v>
      </c>
    </row>
    <row r="35" spans="1:19" s="11" customFormat="1" ht="12.75">
      <c r="A35" s="54" t="s">
        <v>136</v>
      </c>
      <c r="B35" s="55">
        <v>109</v>
      </c>
      <c r="C35" s="56">
        <v>0.797662337662338</v>
      </c>
      <c r="D35" s="56">
        <v>0.64687539661911</v>
      </c>
      <c r="E35" s="57">
        <v>0.401096103896104</v>
      </c>
      <c r="F35" s="57">
        <v>0.351471806647012</v>
      </c>
      <c r="G35" s="57">
        <v>0.260065955440839</v>
      </c>
      <c r="H35" s="57">
        <v>0.209788168862171</v>
      </c>
      <c r="I35" s="57">
        <v>0.156368247077598</v>
      </c>
      <c r="J35" s="57">
        <v>0.216729541284404</v>
      </c>
      <c r="K35" s="57">
        <v>0.119821406275476</v>
      </c>
      <c r="L35" s="57">
        <v>0.0858828389693814</v>
      </c>
      <c r="M35" s="57">
        <v>0.0298326736848634</v>
      </c>
      <c r="N35" s="57">
        <v>1.23877614141943</v>
      </c>
      <c r="O35" s="57">
        <v>0.0614544493095462</v>
      </c>
      <c r="P35" s="57">
        <v>0.146469564198334</v>
      </c>
      <c r="Q35" s="57">
        <v>-0.0713777770965729</v>
      </c>
      <c r="R35" s="56">
        <v>1.82071586074775</v>
      </c>
      <c r="S35" s="56">
        <v>1.00788656630751</v>
      </c>
    </row>
    <row r="36" spans="1:19" s="11" customFormat="1" ht="12.75">
      <c r="A36" s="54" t="s">
        <v>137</v>
      </c>
      <c r="B36" s="55">
        <v>18</v>
      </c>
      <c r="C36" s="56">
        <v>0.726666666666667</v>
      </c>
      <c r="D36" s="56">
        <v>0.537889604562002</v>
      </c>
      <c r="E36" s="57">
        <v>0.467470588235294</v>
      </c>
      <c r="F36" s="57">
        <v>0.594953453569173</v>
      </c>
      <c r="G36" s="57">
        <v>0.373022455443945</v>
      </c>
      <c r="H36" s="57">
        <v>0.153617720015372</v>
      </c>
      <c r="I36" s="57">
        <v>0.146165449926623</v>
      </c>
      <c r="J36" s="57">
        <v>0.273926111111111</v>
      </c>
      <c r="K36" s="57">
        <v>0.056550258394818</v>
      </c>
      <c r="L36" s="57">
        <v>0.0374533915494129</v>
      </c>
      <c r="M36" s="57">
        <v>0.00937642453843223</v>
      </c>
      <c r="N36" s="57">
        <v>1.22118603904542</v>
      </c>
      <c r="O36" s="57">
        <v>0.00936783400879837</v>
      </c>
      <c r="P36" s="57">
        <v>0.111496929724812</v>
      </c>
      <c r="Q36" s="57">
        <v>0.0436479022499554</v>
      </c>
      <c r="R36" s="56">
        <v>3.90259583658223</v>
      </c>
      <c r="S36" s="56">
        <v>0.362497072984863</v>
      </c>
    </row>
    <row r="37" spans="1:19" s="11" customFormat="1" ht="12.75">
      <c r="A37" s="54" t="s">
        <v>221</v>
      </c>
      <c r="B37" s="55">
        <v>10</v>
      </c>
      <c r="C37" s="56">
        <v>1.184</v>
      </c>
      <c r="D37" s="56">
        <v>1.39981127206743</v>
      </c>
      <c r="E37" s="57">
        <v>0.25563</v>
      </c>
      <c r="F37" s="57">
        <v>0.422887828003149</v>
      </c>
      <c r="G37" s="57">
        <v>0.297203911426118</v>
      </c>
      <c r="H37" s="57">
        <v>0.122970145094855</v>
      </c>
      <c r="I37" s="57">
        <v>0.168968666839714</v>
      </c>
      <c r="J37" s="57">
        <v>0.370386</v>
      </c>
      <c r="K37" s="57">
        <v>0.135010123190669</v>
      </c>
      <c r="L37" s="57">
        <v>0.0742861270823347</v>
      </c>
      <c r="M37" s="57">
        <v>0.0166667357939076</v>
      </c>
      <c r="N37" s="57">
        <v>0.877050427643901</v>
      </c>
      <c r="O37" s="57">
        <v>0.0853023832900103</v>
      </c>
      <c r="P37" s="57">
        <v>0.0976997318512651</v>
      </c>
      <c r="Q37" s="57">
        <v>-0.0656585222597088</v>
      </c>
      <c r="R37" s="56">
        <v>2.27456556797528</v>
      </c>
      <c r="S37" s="56">
        <v>0.320935184916357</v>
      </c>
    </row>
    <row r="38" spans="1:19" s="11" customFormat="1" ht="12.75">
      <c r="A38" s="54" t="s">
        <v>222</v>
      </c>
      <c r="B38" s="55">
        <v>34</v>
      </c>
      <c r="C38" s="56">
        <v>1.29321428571429</v>
      </c>
      <c r="D38" s="56">
        <v>0.941558022203637</v>
      </c>
      <c r="E38" s="57">
        <v>0.438471428571429</v>
      </c>
      <c r="F38" s="57">
        <v>0.657540946825219</v>
      </c>
      <c r="G38" s="57">
        <v>0.396696653608856</v>
      </c>
      <c r="H38" s="57">
        <v>0.126385624510343</v>
      </c>
      <c r="I38" s="57">
        <v>0.138495188859905</v>
      </c>
      <c r="J38" s="57">
        <v>0.239944411764706</v>
      </c>
      <c r="K38" s="57">
        <v>0.105130236474929</v>
      </c>
      <c r="L38" s="57">
        <v>0.0704186138611256</v>
      </c>
      <c r="M38" s="57">
        <v>0.0142934962815594</v>
      </c>
      <c r="N38" s="57">
        <v>0.84729717369432</v>
      </c>
      <c r="O38" s="57">
        <v>0.131471744588129</v>
      </c>
      <c r="P38" s="57">
        <v>0.131404972302822</v>
      </c>
      <c r="Q38" s="57">
        <v>-0.000368680610106882</v>
      </c>
      <c r="R38" s="56">
        <v>1.96674119619899</v>
      </c>
      <c r="S38" s="56">
        <v>0.445107605829504</v>
      </c>
    </row>
    <row r="39" spans="1:19" s="11" customFormat="1" ht="12.75">
      <c r="A39" s="54" t="s">
        <v>138</v>
      </c>
      <c r="B39" s="55">
        <v>14</v>
      </c>
      <c r="C39" s="56">
        <v>0.838181818181818</v>
      </c>
      <c r="D39" s="56">
        <v>0.77588495059392</v>
      </c>
      <c r="E39" s="57">
        <v>0.279318181818182</v>
      </c>
      <c r="F39" s="57">
        <v>0.139112050739958</v>
      </c>
      <c r="G39" s="57">
        <v>0.122123236822569</v>
      </c>
      <c r="H39" s="57">
        <v>0.1757647436533</v>
      </c>
      <c r="I39" s="57">
        <v>0.173810215346586</v>
      </c>
      <c r="J39" s="57">
        <v>0.329644285714286</v>
      </c>
      <c r="K39" s="57">
        <v>0.0586685820320332</v>
      </c>
      <c r="L39" s="57">
        <v>0.0380801785787534</v>
      </c>
      <c r="M39" s="57">
        <v>0.0106462837829116</v>
      </c>
      <c r="N39" s="57">
        <v>1.65000757440128</v>
      </c>
      <c r="O39" s="57">
        <v>-0.00287333489568707</v>
      </c>
      <c r="P39" s="57">
        <v>0.0646980055066819</v>
      </c>
      <c r="Q39" s="57">
        <v>0.184979908801763</v>
      </c>
      <c r="R39" s="56">
        <v>4.56432248570291</v>
      </c>
      <c r="S39" s="56">
        <v>0.789562138412876</v>
      </c>
    </row>
    <row r="40" spans="1:19" s="11" customFormat="1" ht="12.75">
      <c r="A40" s="54" t="s">
        <v>223</v>
      </c>
      <c r="B40" s="55">
        <v>29</v>
      </c>
      <c r="C40" s="56">
        <v>1.045</v>
      </c>
      <c r="D40" s="56">
        <v>1.03877128716513</v>
      </c>
      <c r="E40" s="57">
        <v>0.50746875</v>
      </c>
      <c r="F40" s="57">
        <v>0.198721222783421</v>
      </c>
      <c r="G40" s="57">
        <v>0.165777679585911</v>
      </c>
      <c r="H40" s="57">
        <v>0.43473630231549</v>
      </c>
      <c r="I40" s="57">
        <v>0.246870124811393</v>
      </c>
      <c r="J40" s="57">
        <v>0.164749310344828</v>
      </c>
      <c r="K40" s="57">
        <v>0.206574164357563</v>
      </c>
      <c r="L40" s="57">
        <v>0.141598219092807</v>
      </c>
      <c r="M40" s="57">
        <v>0.0778591763142911</v>
      </c>
      <c r="N40" s="57">
        <v>0.84607457373056</v>
      </c>
      <c r="O40" s="57">
        <v>0.0458379199089011</v>
      </c>
      <c r="P40" s="57">
        <v>0.0384357136376009</v>
      </c>
      <c r="Q40" s="57">
        <v>-0.0678111445326531</v>
      </c>
      <c r="R40" s="56">
        <v>1.74345501230908</v>
      </c>
      <c r="S40" s="56">
        <v>2.07527804137407</v>
      </c>
    </row>
    <row r="41" spans="1:19" s="11" customFormat="1" ht="12.75">
      <c r="A41" s="54" t="s">
        <v>200</v>
      </c>
      <c r="B41" s="55">
        <v>14</v>
      </c>
      <c r="C41" s="56">
        <v>1.48375</v>
      </c>
      <c r="D41" s="56">
        <v>1.73750517051234</v>
      </c>
      <c r="E41" s="57">
        <v>0.429075</v>
      </c>
      <c r="F41" s="57">
        <v>0.0949019657473352</v>
      </c>
      <c r="G41" s="57">
        <v>0.0866762219049986</v>
      </c>
      <c r="H41" s="57">
        <v>0.21050644608727</v>
      </c>
      <c r="I41" s="57">
        <v>0.184530538616431</v>
      </c>
      <c r="J41" s="57">
        <v>0.34258</v>
      </c>
      <c r="K41" s="57">
        <v>0.0598341230487653</v>
      </c>
      <c r="L41" s="57">
        <v>0.0384713723237763</v>
      </c>
      <c r="M41" s="57">
        <v>0.022345117587855</v>
      </c>
      <c r="N41" s="57">
        <v>1.427461550658</v>
      </c>
      <c r="O41" s="57">
        <v>0.0116586658797616</v>
      </c>
      <c r="P41" s="57">
        <v>0.0383254369763645</v>
      </c>
      <c r="Q41" s="57">
        <v>-0.0457835918823875</v>
      </c>
      <c r="R41" s="56">
        <v>4.79656761561339</v>
      </c>
      <c r="S41" s="56">
        <v>0.488588998434972</v>
      </c>
    </row>
    <row r="42" spans="1:19" s="11" customFormat="1" ht="12.75">
      <c r="A42" s="54" t="s">
        <v>139</v>
      </c>
      <c r="B42" s="55">
        <v>32</v>
      </c>
      <c r="C42" s="56">
        <v>1.35862068965517</v>
      </c>
      <c r="D42" s="56">
        <v>0.649579398774105</v>
      </c>
      <c r="E42" s="57">
        <v>0.442839130434783</v>
      </c>
      <c r="F42" s="57">
        <v>1.62146568353317</v>
      </c>
      <c r="G42" s="57">
        <v>0.618534010846857</v>
      </c>
      <c r="H42" s="57">
        <v>-0.635935092449923</v>
      </c>
      <c r="I42" s="57">
        <v>-0.231681552536422</v>
      </c>
      <c r="J42" s="57">
        <v>0.0613340625</v>
      </c>
      <c r="K42" s="57">
        <v>-0.16161485095278</v>
      </c>
      <c r="L42" s="57">
        <v>-0.16359966117475</v>
      </c>
      <c r="M42" s="57">
        <v>-0.103405667880005</v>
      </c>
      <c r="N42" s="57">
        <v>0.728766887531194</v>
      </c>
      <c r="O42" s="57">
        <v>0.577694799024474</v>
      </c>
      <c r="P42" s="57" t="s">
        <v>16</v>
      </c>
      <c r="Q42" s="57" t="s">
        <v>16</v>
      </c>
      <c r="R42" s="56">
        <v>1.41614934207565</v>
      </c>
      <c r="S42" s="56">
        <v>0.584349727412809</v>
      </c>
    </row>
    <row r="43" spans="1:19" s="11" customFormat="1" ht="12.75">
      <c r="A43" s="54" t="s">
        <v>140</v>
      </c>
      <c r="B43" s="55">
        <v>68</v>
      </c>
      <c r="C43" s="56">
        <v>1.70022222222222</v>
      </c>
      <c r="D43" s="56">
        <v>0.83947341211937</v>
      </c>
      <c r="E43" s="57">
        <v>0.64466</v>
      </c>
      <c r="F43" s="57">
        <v>1.42619571443687</v>
      </c>
      <c r="G43" s="57">
        <v>0.587832096953438</v>
      </c>
      <c r="H43" s="57">
        <v>0.17096918313851</v>
      </c>
      <c r="I43" s="57">
        <v>0.10834682756645</v>
      </c>
      <c r="J43" s="57">
        <v>0.1796825</v>
      </c>
      <c r="K43" s="57">
        <v>0.229809889788465</v>
      </c>
      <c r="L43" s="57">
        <v>0.152582014301794</v>
      </c>
      <c r="M43" s="57">
        <v>0.0325964350931627</v>
      </c>
      <c r="N43" s="57">
        <v>3.30707687029822</v>
      </c>
      <c r="O43" s="57">
        <v>-0.0357961248202195</v>
      </c>
      <c r="P43" s="57">
        <v>0.104719542693819</v>
      </c>
      <c r="Q43" s="57">
        <v>0.527761978644316</v>
      </c>
      <c r="R43" s="56">
        <v>0.710089115432369</v>
      </c>
      <c r="S43" s="56">
        <v>1.50450703770139</v>
      </c>
    </row>
    <row r="44" spans="1:19" s="11" customFormat="1" ht="12.75">
      <c r="A44" s="54" t="s">
        <v>141</v>
      </c>
      <c r="B44" s="55">
        <v>26</v>
      </c>
      <c r="C44" s="56">
        <v>1.08</v>
      </c>
      <c r="D44" s="56">
        <v>0.951301620891745</v>
      </c>
      <c r="E44" s="57">
        <v>0.373375</v>
      </c>
      <c r="F44" s="57">
        <v>0.232117843696764</v>
      </c>
      <c r="G44" s="57">
        <v>0.188389320781471</v>
      </c>
      <c r="H44" s="57">
        <v>0.216667636096806</v>
      </c>
      <c r="I44" s="57">
        <v>0.171034035861946</v>
      </c>
      <c r="J44" s="57">
        <v>0.298697307692308</v>
      </c>
      <c r="K44" s="57">
        <v>0.212367483581936</v>
      </c>
      <c r="L44" s="57">
        <v>0.153308914465459</v>
      </c>
      <c r="M44" s="57">
        <v>0.0590100391918245</v>
      </c>
      <c r="N44" s="57">
        <v>0.946747301667297</v>
      </c>
      <c r="O44" s="57">
        <v>0.056876457941747</v>
      </c>
      <c r="P44" s="57">
        <v>0.215774437642894</v>
      </c>
      <c r="Q44" s="57">
        <v>-0.0238595229208482</v>
      </c>
      <c r="R44" s="56">
        <v>1.1156170302183</v>
      </c>
      <c r="S44" s="56">
        <v>2.054373678345</v>
      </c>
    </row>
    <row r="45" spans="1:19" s="11" customFormat="1" ht="12.75">
      <c r="A45" s="54" t="s">
        <v>142</v>
      </c>
      <c r="B45" s="55">
        <v>31</v>
      </c>
      <c r="C45" s="56">
        <v>1.44208333333333</v>
      </c>
      <c r="D45" s="56">
        <v>1.60560728767748</v>
      </c>
      <c r="E45" s="57">
        <v>0.4380875</v>
      </c>
      <c r="F45" s="57">
        <v>0.184193377747453</v>
      </c>
      <c r="G45" s="57">
        <v>0.155543326967274</v>
      </c>
      <c r="H45" s="57">
        <v>0.162974433524002</v>
      </c>
      <c r="I45" s="57">
        <v>0.173351950611415</v>
      </c>
      <c r="J45" s="57">
        <v>0.297668709677419</v>
      </c>
      <c r="K45" s="57">
        <v>0.0568962491800488</v>
      </c>
      <c r="L45" s="57">
        <v>0.0330648841521126</v>
      </c>
      <c r="M45" s="57">
        <v>0.0120432212586864</v>
      </c>
      <c r="N45" s="57">
        <v>0.818512898330804</v>
      </c>
      <c r="O45" s="57">
        <v>0.0548111359782099</v>
      </c>
      <c r="P45" s="57">
        <v>0.073310839635447</v>
      </c>
      <c r="Q45" s="57">
        <v>-0.0715474328799667</v>
      </c>
      <c r="R45" s="56">
        <v>5.24278112737133</v>
      </c>
      <c r="S45" s="56">
        <v>0.227304814605447</v>
      </c>
    </row>
    <row r="46" spans="1:19" s="11" customFormat="1" ht="12.75">
      <c r="A46" s="54" t="s">
        <v>145</v>
      </c>
      <c r="B46" s="55">
        <v>167</v>
      </c>
      <c r="C46" s="56">
        <v>1.19706422018349</v>
      </c>
      <c r="D46" s="56">
        <v>0.982796355298811</v>
      </c>
      <c r="E46" s="57">
        <v>0.635017431192661</v>
      </c>
      <c r="F46" s="57">
        <v>0.439819718264712</v>
      </c>
      <c r="G46" s="57">
        <v>0.305468603246237</v>
      </c>
      <c r="H46" s="57">
        <v>0.19744766878659</v>
      </c>
      <c r="I46" s="57">
        <v>0.181770395395769</v>
      </c>
      <c r="J46" s="57">
        <v>0.192551736526946</v>
      </c>
      <c r="K46" s="57">
        <v>0.117598629264035</v>
      </c>
      <c r="L46" s="57">
        <v>0.0827263700640176</v>
      </c>
      <c r="M46" s="57">
        <v>0.0203479518389079</v>
      </c>
      <c r="N46" s="57">
        <v>1.34258691491536</v>
      </c>
      <c r="O46" s="57">
        <v>0.0688231062224511</v>
      </c>
      <c r="P46" s="57">
        <v>0.0515907849829351</v>
      </c>
      <c r="Q46" s="57">
        <v>0.076012158294236</v>
      </c>
      <c r="R46" s="56">
        <v>2.19724853459793</v>
      </c>
      <c r="S46" s="56">
        <v>0.707694161727489</v>
      </c>
    </row>
    <row r="47" spans="1:19" s="11" customFormat="1" ht="12.75">
      <c r="A47" s="54" t="s">
        <v>146</v>
      </c>
      <c r="B47" s="55">
        <v>34</v>
      </c>
      <c r="C47" s="56">
        <v>1.21761904761905</v>
      </c>
      <c r="D47" s="56">
        <v>1.2441775824509</v>
      </c>
      <c r="E47" s="57">
        <v>0.372590476190476</v>
      </c>
      <c r="F47" s="57">
        <v>0.218767599442629</v>
      </c>
      <c r="G47" s="57">
        <v>0.179499027987515</v>
      </c>
      <c r="H47" s="57">
        <v>0.320393456419967</v>
      </c>
      <c r="I47" s="57">
        <v>0.212033407227143</v>
      </c>
      <c r="J47" s="57">
        <v>0.204436764705882</v>
      </c>
      <c r="K47" s="57">
        <v>0.212556416362045</v>
      </c>
      <c r="L47" s="57">
        <v>0.147156989525501</v>
      </c>
      <c r="M47" s="57">
        <v>0.0592017196107707</v>
      </c>
      <c r="N47" s="57">
        <v>0.982923519872919</v>
      </c>
      <c r="O47" s="57">
        <v>-0.0163626885651032</v>
      </c>
      <c r="P47" s="57">
        <v>0.0546726168266145</v>
      </c>
      <c r="Q47" s="57">
        <v>0.00901951035724945</v>
      </c>
      <c r="R47" s="56">
        <v>1.44086535006479</v>
      </c>
      <c r="S47" s="56">
        <v>1.67695198669104</v>
      </c>
    </row>
    <row r="48" spans="1:19" s="11" customFormat="1" ht="12.75">
      <c r="A48" s="54" t="s">
        <v>147</v>
      </c>
      <c r="B48" s="55">
        <v>35</v>
      </c>
      <c r="C48" s="56">
        <v>1.174</v>
      </c>
      <c r="D48" s="56">
        <v>1.27076218675788</v>
      </c>
      <c r="E48" s="57">
        <v>0.507436666666667</v>
      </c>
      <c r="F48" s="57">
        <v>0.217083988234111</v>
      </c>
      <c r="G48" s="57">
        <v>0.178364016232834</v>
      </c>
      <c r="H48" s="57">
        <v>0.209079119795961</v>
      </c>
      <c r="I48" s="57" t="s">
        <v>16</v>
      </c>
      <c r="J48" s="57">
        <v>0.258583142857143</v>
      </c>
      <c r="K48" s="57" t="s">
        <v>16</v>
      </c>
      <c r="L48" s="57" t="s">
        <v>16</v>
      </c>
      <c r="M48" s="57" t="s">
        <v>16</v>
      </c>
      <c r="N48" s="57">
        <v>1927.25</v>
      </c>
      <c r="O48" s="57" t="s">
        <v>16</v>
      </c>
      <c r="P48" s="57">
        <v>0.233467812308773</v>
      </c>
      <c r="Q48" s="57">
        <v>-2.80592164036123E-05</v>
      </c>
      <c r="R48" s="56" t="s">
        <v>16</v>
      </c>
      <c r="S48" s="56" t="s">
        <v>16</v>
      </c>
    </row>
    <row r="49" spans="1:19" s="11" customFormat="1" ht="12.75">
      <c r="A49" s="54" t="s">
        <v>224</v>
      </c>
      <c r="B49" s="55">
        <v>78</v>
      </c>
      <c r="C49" s="56">
        <v>0.913235294117647</v>
      </c>
      <c r="D49" s="56">
        <v>0.920091292858986</v>
      </c>
      <c r="E49" s="57">
        <v>0.264720408163265</v>
      </c>
      <c r="F49" s="57">
        <v>0.0188971509042189</v>
      </c>
      <c r="G49" s="57">
        <v>0.0185466716512541</v>
      </c>
      <c r="H49" s="57">
        <v>0.204402243004728</v>
      </c>
      <c r="I49" s="57" t="s">
        <v>16</v>
      </c>
      <c r="J49" s="57">
        <v>0.202624358974359</v>
      </c>
      <c r="K49" s="57" t="s">
        <v>16</v>
      </c>
      <c r="L49" s="57" t="s">
        <v>16</v>
      </c>
      <c r="M49" s="57" t="s">
        <v>16</v>
      </c>
      <c r="N49" s="57">
        <v>387.069767441861</v>
      </c>
      <c r="O49" s="57" t="s">
        <v>16</v>
      </c>
      <c r="P49" s="57">
        <v>0.142884930371462</v>
      </c>
      <c r="Q49" s="57">
        <v>-0.000659896757490875</v>
      </c>
      <c r="R49" s="56" t="s">
        <v>16</v>
      </c>
      <c r="S49" s="56" t="s">
        <v>16</v>
      </c>
    </row>
    <row r="50" spans="1:19" s="11" customFormat="1" ht="12.75">
      <c r="A50" s="54" t="s">
        <v>148</v>
      </c>
      <c r="B50" s="55">
        <v>208</v>
      </c>
      <c r="C50" s="56">
        <v>1.41054545454545</v>
      </c>
      <c r="D50" s="56">
        <v>1.65793037034747</v>
      </c>
      <c r="E50" s="57">
        <v>0.863126363636363</v>
      </c>
      <c r="F50" s="57">
        <v>0.0407314409947389</v>
      </c>
      <c r="G50" s="57">
        <v>0.039137321493629</v>
      </c>
      <c r="H50" s="57">
        <v>0.25597939049738</v>
      </c>
      <c r="I50" s="57">
        <v>0.264632399922011</v>
      </c>
      <c r="J50" s="57">
        <v>0.0750225480769231</v>
      </c>
      <c r="K50" s="57">
        <v>0.192329021839968</v>
      </c>
      <c r="L50" s="57">
        <v>0.139420659784814</v>
      </c>
      <c r="M50" s="57">
        <v>0.0653393624940282</v>
      </c>
      <c r="N50" s="57">
        <v>1.33619409788243</v>
      </c>
      <c r="O50" s="57">
        <v>-0.0682877442865555</v>
      </c>
      <c r="P50" s="57">
        <v>0.00202665955067602</v>
      </c>
      <c r="Q50" s="57">
        <v>0.0625328378935547</v>
      </c>
      <c r="R50" s="56">
        <v>1.89808598187996</v>
      </c>
      <c r="S50" s="56">
        <v>2.22107120835046</v>
      </c>
    </row>
    <row r="51" spans="1:19" s="11" customFormat="1" ht="12.75">
      <c r="A51" s="54" t="s">
        <v>149</v>
      </c>
      <c r="B51" s="55">
        <v>17</v>
      </c>
      <c r="C51" s="56">
        <v>0.825625</v>
      </c>
      <c r="D51" s="56">
        <v>0.899782934131737</v>
      </c>
      <c r="E51" s="57">
        <v>0.189575</v>
      </c>
      <c r="F51" s="57">
        <v>0.148351648351648</v>
      </c>
      <c r="G51" s="57">
        <v>0.129186602870813</v>
      </c>
      <c r="H51" s="57">
        <v>6.47727272727273</v>
      </c>
      <c r="I51" s="57" t="s">
        <v>16</v>
      </c>
      <c r="J51" s="57">
        <v>0</v>
      </c>
      <c r="K51" s="57" t="s">
        <v>16</v>
      </c>
      <c r="L51" s="57" t="s">
        <v>16</v>
      </c>
      <c r="M51" s="57" t="s">
        <v>16</v>
      </c>
      <c r="N51" s="57">
        <v>0.2</v>
      </c>
      <c r="O51" s="57" t="s">
        <v>16</v>
      </c>
      <c r="P51" s="57" t="s">
        <v>16</v>
      </c>
      <c r="Q51" s="57" t="s">
        <v>16</v>
      </c>
      <c r="R51" s="56" t="s">
        <v>16</v>
      </c>
      <c r="S51" s="56" t="s">
        <v>16</v>
      </c>
    </row>
    <row r="52" spans="1:19" s="11" customFormat="1" ht="12.75">
      <c r="A52" s="54" t="s">
        <v>225</v>
      </c>
      <c r="B52" s="55">
        <v>16</v>
      </c>
      <c r="C52" s="56">
        <v>1.30625</v>
      </c>
      <c r="D52" s="56">
        <v>1.36227937547128</v>
      </c>
      <c r="E52" s="57">
        <v>0.2886625</v>
      </c>
      <c r="F52" s="57">
        <v>0.0515695067264574</v>
      </c>
      <c r="G52" s="57">
        <v>0.0490405117270789</v>
      </c>
      <c r="H52" s="57">
        <v>0.1045910611128</v>
      </c>
      <c r="I52" s="57" t="s">
        <v>16</v>
      </c>
      <c r="J52" s="57">
        <v>0.021129375</v>
      </c>
      <c r="K52" s="57" t="s">
        <v>16</v>
      </c>
      <c r="L52" s="57" t="s">
        <v>16</v>
      </c>
      <c r="M52" s="57" t="s">
        <v>16</v>
      </c>
      <c r="N52" s="57">
        <v>0.842105263157895</v>
      </c>
      <c r="O52" s="57" t="s">
        <v>16</v>
      </c>
      <c r="P52" s="57">
        <v>0.367151162790698</v>
      </c>
      <c r="Q52" s="57">
        <v>-0.0154829614453439</v>
      </c>
      <c r="R52" s="56" t="s">
        <v>16</v>
      </c>
      <c r="S52" s="56" t="s">
        <v>16</v>
      </c>
    </row>
    <row r="53" spans="1:19" s="11" customFormat="1" ht="12.75">
      <c r="A53" s="54" t="s">
        <v>150</v>
      </c>
      <c r="B53" s="55">
        <v>124</v>
      </c>
      <c r="C53" s="56">
        <v>1.39</v>
      </c>
      <c r="D53" s="56">
        <v>1.08404078902477</v>
      </c>
      <c r="E53" s="57">
        <v>0.486645</v>
      </c>
      <c r="F53" s="57">
        <v>0.557715584406428</v>
      </c>
      <c r="G53" s="57">
        <v>0.358034284300331</v>
      </c>
      <c r="H53" s="57">
        <v>0.235084591582124</v>
      </c>
      <c r="I53" s="57">
        <v>0.17210751040389</v>
      </c>
      <c r="J53" s="57">
        <v>0.227090161290323</v>
      </c>
      <c r="K53" s="57">
        <v>0.137172807379057</v>
      </c>
      <c r="L53" s="57">
        <v>0.0948617738396481</v>
      </c>
      <c r="M53" s="57">
        <v>0.0349065744054016</v>
      </c>
      <c r="N53" s="57">
        <v>1.34950461666148</v>
      </c>
      <c r="O53" s="57">
        <v>0.161406702428971</v>
      </c>
      <c r="P53" s="57">
        <v>0.102073381093723</v>
      </c>
      <c r="Q53" s="57">
        <v>-0.0151299385112644</v>
      </c>
      <c r="R53" s="56">
        <v>1.81429782975401</v>
      </c>
      <c r="S53" s="56">
        <v>0.703957943467321</v>
      </c>
    </row>
    <row r="54" spans="1:19" s="11" customFormat="1" ht="12.75">
      <c r="A54" s="54" t="s">
        <v>115</v>
      </c>
      <c r="B54" s="55">
        <v>18</v>
      </c>
      <c r="C54" s="56">
        <v>1.318</v>
      </c>
      <c r="D54" s="56">
        <v>1.37777516904107</v>
      </c>
      <c r="E54" s="57">
        <v>0.476666666666666</v>
      </c>
      <c r="F54" s="57">
        <v>0.501293623871673</v>
      </c>
      <c r="G54" s="57">
        <v>0.333907781862745</v>
      </c>
      <c r="H54" s="57">
        <v>0.0889600281946606</v>
      </c>
      <c r="I54" s="57">
        <v>0.0947075987693985</v>
      </c>
      <c r="J54" s="57">
        <v>0.149806111111111</v>
      </c>
      <c r="K54" s="57">
        <v>0.0383256351444996</v>
      </c>
      <c r="L54" s="57">
        <v>0.0237362901021892</v>
      </c>
      <c r="M54" s="57">
        <v>-0.0161043169329572</v>
      </c>
      <c r="N54" s="57">
        <v>0.813345356176736</v>
      </c>
      <c r="O54" s="57">
        <v>0.0570580829030715</v>
      </c>
      <c r="P54" s="57">
        <v>0.0904754044239023</v>
      </c>
      <c r="Q54" s="57">
        <v>0.091704333713462</v>
      </c>
      <c r="R54" s="56">
        <v>3.98999162723679</v>
      </c>
      <c r="S54" s="56">
        <v>0.170944884195321</v>
      </c>
    </row>
    <row r="55" spans="1:19" s="11" customFormat="1" ht="12.75">
      <c r="A55" s="54" t="s">
        <v>151</v>
      </c>
      <c r="B55" s="55">
        <v>56</v>
      </c>
      <c r="C55" s="56">
        <v>1.30487804878049</v>
      </c>
      <c r="D55" s="56">
        <v>0.520005737021689</v>
      </c>
      <c r="E55" s="57">
        <v>0.370835714285714</v>
      </c>
      <c r="F55" s="57">
        <v>1.85733986552836</v>
      </c>
      <c r="G55" s="57">
        <v>0.650024131863261</v>
      </c>
      <c r="H55" s="57">
        <v>0.199504652883014</v>
      </c>
      <c r="I55" s="57">
        <v>0.121775786175</v>
      </c>
      <c r="J55" s="57">
        <v>0.0708451785714286</v>
      </c>
      <c r="K55" s="57">
        <v>0.306611997711348</v>
      </c>
      <c r="L55" s="57">
        <v>0.290893922767089</v>
      </c>
      <c r="M55" s="57">
        <v>0.133232220945704</v>
      </c>
      <c r="N55" s="57">
        <v>5.23299450973475</v>
      </c>
      <c r="O55" s="57">
        <v>0.0717814700954059</v>
      </c>
      <c r="P55" s="57">
        <v>0.176667546137503</v>
      </c>
      <c r="Q55" s="57">
        <v>0.697032327898168</v>
      </c>
      <c r="R55" s="56">
        <v>0.418626092345361</v>
      </c>
      <c r="S55" s="56">
        <v>2.22605657147268</v>
      </c>
    </row>
    <row r="56" spans="1:19" s="11" customFormat="1" ht="12.75">
      <c r="A56" s="54" t="s">
        <v>152</v>
      </c>
      <c r="B56" s="55">
        <v>160</v>
      </c>
      <c r="C56" s="56">
        <v>1.10220183486239</v>
      </c>
      <c r="D56" s="56">
        <v>0.897228543862869</v>
      </c>
      <c r="E56" s="57">
        <v>0.868413636363636</v>
      </c>
      <c r="F56" s="57">
        <v>0.546641464145603</v>
      </c>
      <c r="G56" s="57">
        <v>0.353437740302391</v>
      </c>
      <c r="H56" s="57">
        <v>0.245592351807462</v>
      </c>
      <c r="I56" s="57">
        <v>0.182472970146344</v>
      </c>
      <c r="J56" s="57">
        <v>0.183599875</v>
      </c>
      <c r="K56" s="57">
        <v>0.126915272110121</v>
      </c>
      <c r="L56" s="57">
        <v>0.0815677246090775</v>
      </c>
      <c r="M56" s="57">
        <v>0.0238374145741645</v>
      </c>
      <c r="N56" s="57">
        <v>1.46465971998922</v>
      </c>
      <c r="O56" s="57">
        <v>-0.06663761890391</v>
      </c>
      <c r="P56" s="57">
        <v>0.00855748541646744</v>
      </c>
      <c r="Q56" s="57">
        <v>0.0572096264428514</v>
      </c>
      <c r="R56" s="56">
        <v>2.23707319311488</v>
      </c>
      <c r="S56" s="56">
        <v>0.58573803110765</v>
      </c>
    </row>
    <row r="57" spans="1:19" s="11" customFormat="1" ht="12.75">
      <c r="A57" s="54" t="s">
        <v>153</v>
      </c>
      <c r="B57" s="55">
        <v>252</v>
      </c>
      <c r="C57" s="56">
        <v>1.16655629139073</v>
      </c>
      <c r="D57" s="56">
        <v>1.13116492305185</v>
      </c>
      <c r="E57" s="57">
        <v>0.723776315789474</v>
      </c>
      <c r="F57" s="57">
        <v>0.132805285359813</v>
      </c>
      <c r="G57" s="57">
        <v>0.117235757173952</v>
      </c>
      <c r="H57" s="57">
        <v>0.231721712803076</v>
      </c>
      <c r="I57" s="57">
        <v>0.203359205030623</v>
      </c>
      <c r="J57" s="57">
        <v>0.12505873015873</v>
      </c>
      <c r="K57" s="57">
        <v>0.115289779255889</v>
      </c>
      <c r="L57" s="57">
        <v>0.0853881037173451</v>
      </c>
      <c r="M57" s="57">
        <v>0.035987574586708</v>
      </c>
      <c r="N57" s="57">
        <v>0.98745813716449</v>
      </c>
      <c r="O57" s="57">
        <v>0.0659400927192599</v>
      </c>
      <c r="P57" s="57">
        <v>0.152498404311601</v>
      </c>
      <c r="Q57" s="57">
        <v>-0.0332614146649817</v>
      </c>
      <c r="R57" s="56">
        <v>2.38158708505567</v>
      </c>
      <c r="S57" s="56">
        <v>1.07898297565755</v>
      </c>
    </row>
    <row r="58" spans="1:19" s="11" customFormat="1" ht="12.75">
      <c r="A58" s="54" t="s">
        <v>154</v>
      </c>
      <c r="B58" s="55">
        <v>35</v>
      </c>
      <c r="C58" s="56">
        <v>1.55565217391304</v>
      </c>
      <c r="D58" s="56">
        <v>1.55140159541445</v>
      </c>
      <c r="E58" s="57">
        <v>0.59995652173913</v>
      </c>
      <c r="F58" s="57">
        <v>0.254448038985343</v>
      </c>
      <c r="G58" s="57">
        <v>0.202836650923503</v>
      </c>
      <c r="H58" s="57">
        <v>0.220062353035893</v>
      </c>
      <c r="I58" s="57">
        <v>0.213275558416641</v>
      </c>
      <c r="J58" s="57">
        <v>0.204294571428571</v>
      </c>
      <c r="K58" s="57">
        <v>0.146526713030201</v>
      </c>
      <c r="L58" s="57">
        <v>0.102248844132872</v>
      </c>
      <c r="M58" s="57">
        <v>0.0270798421033032</v>
      </c>
      <c r="N58" s="57">
        <v>1.9534623141854</v>
      </c>
      <c r="O58" s="57">
        <v>0.10843946672625</v>
      </c>
      <c r="P58" s="57">
        <v>0.104887722662361</v>
      </c>
      <c r="Q58" s="57">
        <v>0.086553138781702</v>
      </c>
      <c r="R58" s="56">
        <v>2.08584811129495</v>
      </c>
      <c r="S58" s="56">
        <v>0.592754999441403</v>
      </c>
    </row>
    <row r="59" spans="1:19" s="11" customFormat="1" ht="12.75">
      <c r="A59" s="54" t="s">
        <v>155</v>
      </c>
      <c r="B59" s="55">
        <v>78</v>
      </c>
      <c r="C59" s="56">
        <v>1.68558139534884</v>
      </c>
      <c r="D59" s="56">
        <v>1.48132662872831</v>
      </c>
      <c r="E59" s="57">
        <v>0.972079069767442</v>
      </c>
      <c r="F59" s="57">
        <v>0.219430304923464</v>
      </c>
      <c r="G59" s="57">
        <v>0.179944933332813</v>
      </c>
      <c r="H59" s="57">
        <v>0.308552268632422</v>
      </c>
      <c r="I59" s="57">
        <v>0.27615735824604</v>
      </c>
      <c r="J59" s="57">
        <v>0.0929223076923077</v>
      </c>
      <c r="K59" s="57">
        <v>0.360038987533066</v>
      </c>
      <c r="L59" s="57">
        <v>0.253311561477417</v>
      </c>
      <c r="M59" s="57">
        <v>0.0593636250893372</v>
      </c>
      <c r="N59" s="57">
        <v>2.51650521824367</v>
      </c>
      <c r="O59" s="57">
        <v>0.0581283105904374</v>
      </c>
      <c r="P59" s="57">
        <v>0.0999555412811091</v>
      </c>
      <c r="Q59" s="57">
        <v>0.109126844672677</v>
      </c>
      <c r="R59" s="56">
        <v>1.09018852765889</v>
      </c>
      <c r="S59" s="56">
        <v>1.49106244462372</v>
      </c>
    </row>
    <row r="60" spans="1:19" s="11" customFormat="1" ht="12.75">
      <c r="A60" s="54" t="s">
        <v>116</v>
      </c>
      <c r="B60" s="55">
        <v>34</v>
      </c>
      <c r="C60" s="56">
        <v>1.20466666666667</v>
      </c>
      <c r="D60" s="56">
        <v>0.853504150821425</v>
      </c>
      <c r="E60" s="57">
        <v>0.35646</v>
      </c>
      <c r="F60" s="57">
        <v>0.58572122862679</v>
      </c>
      <c r="G60" s="57">
        <v>0.369372130518815</v>
      </c>
      <c r="H60" s="57">
        <v>0.143104011688242</v>
      </c>
      <c r="I60" s="57">
        <v>0.150771208844171</v>
      </c>
      <c r="J60" s="57">
        <v>0.241914411764706</v>
      </c>
      <c r="K60" s="57">
        <v>0.340563525804764</v>
      </c>
      <c r="L60" s="57">
        <v>0.237514714801901</v>
      </c>
      <c r="M60" s="57">
        <v>0.094138010259737</v>
      </c>
      <c r="N60" s="57">
        <v>2.81529822315687</v>
      </c>
      <c r="O60" s="57">
        <v>-0.0393968880985892</v>
      </c>
      <c r="P60" s="57">
        <v>0.138047219256917</v>
      </c>
      <c r="Q60" s="57">
        <v>0.505262668047762</v>
      </c>
      <c r="R60" s="56">
        <v>0.634786812976713</v>
      </c>
      <c r="S60" s="56">
        <v>1.99649288440709</v>
      </c>
    </row>
    <row r="61" spans="1:19" s="11" customFormat="1" ht="12.75">
      <c r="A61" s="54" t="s">
        <v>201</v>
      </c>
      <c r="B61" s="55">
        <v>25</v>
      </c>
      <c r="C61" s="56">
        <v>0.691666666666667</v>
      </c>
      <c r="D61" s="56">
        <v>0.430169713863049</v>
      </c>
      <c r="E61" s="57">
        <v>0.257128571428571</v>
      </c>
      <c r="F61" s="57">
        <v>0.853269854877227</v>
      </c>
      <c r="G61" s="57">
        <v>0.46041317330646</v>
      </c>
      <c r="H61" s="57">
        <v>0.123566484140924</v>
      </c>
      <c r="I61" s="57">
        <v>0.12020183886175</v>
      </c>
      <c r="J61" s="57">
        <v>0.24521</v>
      </c>
      <c r="K61" s="57">
        <v>0.147702483440154</v>
      </c>
      <c r="L61" s="57">
        <v>0.103594251537901</v>
      </c>
      <c r="M61" s="57">
        <v>0.0230125373293025</v>
      </c>
      <c r="N61" s="57">
        <v>1.46560042887777</v>
      </c>
      <c r="O61" s="57">
        <v>0.0516838953133514</v>
      </c>
      <c r="P61" s="57">
        <v>0.301365198810851</v>
      </c>
      <c r="Q61" s="57">
        <v>0.0834621751945259</v>
      </c>
      <c r="R61" s="56">
        <v>1.16031379229351</v>
      </c>
      <c r="S61" s="56">
        <v>1.08944923879405</v>
      </c>
    </row>
    <row r="62" spans="1:19" s="11" customFormat="1" ht="12.75">
      <c r="A62" s="54" t="s">
        <v>57</v>
      </c>
      <c r="B62" s="55">
        <v>16</v>
      </c>
      <c r="C62" s="56">
        <v>1.15846153846154</v>
      </c>
      <c r="D62" s="56">
        <v>0.718640347798985</v>
      </c>
      <c r="E62" s="57">
        <v>0.343169230769231</v>
      </c>
      <c r="F62" s="57">
        <v>0.864264819194322</v>
      </c>
      <c r="G62" s="57">
        <v>0.463595520494685</v>
      </c>
      <c r="H62" s="57">
        <v>0.139552922115921</v>
      </c>
      <c r="I62" s="57">
        <v>0.112063393435636</v>
      </c>
      <c r="J62" s="57">
        <v>0.235275</v>
      </c>
      <c r="K62" s="57">
        <v>0.218989478624298</v>
      </c>
      <c r="L62" s="57">
        <v>0.16055971488749</v>
      </c>
      <c r="M62" s="57">
        <v>0.0218316018780582</v>
      </c>
      <c r="N62" s="57">
        <v>0.715528800890131</v>
      </c>
      <c r="O62" s="57">
        <v>0.0304854400976986</v>
      </c>
      <c r="P62" s="57">
        <v>0.0911790436098139</v>
      </c>
      <c r="Q62" s="57">
        <v>-0.0454815556434018</v>
      </c>
      <c r="R62" s="56">
        <v>0.697954611554731</v>
      </c>
      <c r="S62" s="56">
        <v>1.11900420005116</v>
      </c>
    </row>
    <row r="63" spans="1:19" s="11" customFormat="1" ht="12.75">
      <c r="A63" s="54" t="s">
        <v>35</v>
      </c>
      <c r="B63" s="55">
        <v>26</v>
      </c>
      <c r="C63" s="56">
        <v>1.11052631578947</v>
      </c>
      <c r="D63" s="56">
        <v>0.839040505955503</v>
      </c>
      <c r="E63" s="57">
        <v>0.423594736842105</v>
      </c>
      <c r="F63" s="57">
        <v>0.603542972192304</v>
      </c>
      <c r="G63" s="57">
        <v>0.376380915671479</v>
      </c>
      <c r="H63" s="57">
        <v>0.198533542479845</v>
      </c>
      <c r="I63" s="57">
        <v>0.158083910890468</v>
      </c>
      <c r="J63" s="57">
        <v>0.227585769230769</v>
      </c>
      <c r="K63" s="57">
        <v>0.0994163120964554</v>
      </c>
      <c r="L63" s="57">
        <v>0.0691982514714279</v>
      </c>
      <c r="M63" s="57">
        <v>0.0173765757455967</v>
      </c>
      <c r="N63" s="57">
        <v>0.833601370120512</v>
      </c>
      <c r="O63" s="57">
        <v>0.0932995124522335</v>
      </c>
      <c r="P63" s="57">
        <v>0.106554461267088</v>
      </c>
      <c r="Q63" s="57">
        <v>-0.0575014678579087</v>
      </c>
      <c r="R63" s="56">
        <v>2.28450730371043</v>
      </c>
      <c r="S63" s="56">
        <v>0.519487635612949</v>
      </c>
    </row>
    <row r="64" spans="1:19" s="11" customFormat="1" ht="12.75">
      <c r="A64" s="54" t="s">
        <v>202</v>
      </c>
      <c r="B64" s="55">
        <v>19</v>
      </c>
      <c r="C64" s="56">
        <v>0.89375</v>
      </c>
      <c r="D64" s="56">
        <v>0.525021402788052</v>
      </c>
      <c r="E64" s="57">
        <v>0.368983333333333</v>
      </c>
      <c r="F64" s="57">
        <v>0.819479354955955</v>
      </c>
      <c r="G64" s="57">
        <v>0.450392224964703</v>
      </c>
      <c r="H64" s="57">
        <v>0.158091669440299</v>
      </c>
      <c r="I64" s="57">
        <v>0.116867333053337</v>
      </c>
      <c r="J64" s="57">
        <v>0.0948275357312199</v>
      </c>
      <c r="K64" s="57">
        <v>0.152409265899259</v>
      </c>
      <c r="L64" s="57">
        <v>0.122385945787147</v>
      </c>
      <c r="M64" s="57">
        <v>0.0425241248189315</v>
      </c>
      <c r="N64" s="57">
        <v>3.7341518680508</v>
      </c>
      <c r="O64" s="57">
        <v>-0.00448986903547082</v>
      </c>
      <c r="P64" s="57">
        <v>0.396967384291487</v>
      </c>
      <c r="Q64" s="57">
        <v>0.479362426183632</v>
      </c>
      <c r="R64" s="56">
        <v>0.954908117118225</v>
      </c>
      <c r="S64" s="56">
        <v>1.36086757204251</v>
      </c>
    </row>
    <row r="65" spans="1:19" s="11" customFormat="1" ht="12.75">
      <c r="A65" s="54" t="s">
        <v>36</v>
      </c>
      <c r="B65" s="55">
        <v>112</v>
      </c>
      <c r="C65" s="56">
        <v>1.55676923076923</v>
      </c>
      <c r="D65" s="56">
        <v>1.26619566727208</v>
      </c>
      <c r="E65" s="57">
        <v>0.463424615384615</v>
      </c>
      <c r="F65" s="57">
        <v>0.423458675790453</v>
      </c>
      <c r="G65" s="57">
        <v>0.297485752830376</v>
      </c>
      <c r="H65" s="57">
        <v>0.250989677838825</v>
      </c>
      <c r="I65" s="57">
        <v>0.205047895080822</v>
      </c>
      <c r="J65" s="57">
        <v>0.220666964285714</v>
      </c>
      <c r="K65" s="57">
        <v>0.263604566623495</v>
      </c>
      <c r="L65" s="57">
        <v>0.196487249584527</v>
      </c>
      <c r="M65" s="57">
        <v>0.0824132672364702</v>
      </c>
      <c r="N65" s="57">
        <v>2.68731905810153</v>
      </c>
      <c r="O65" s="57">
        <v>0.12698500424189</v>
      </c>
      <c r="P65" s="57">
        <v>0.0606399353303754</v>
      </c>
      <c r="Q65" s="57">
        <v>0.188560029078463</v>
      </c>
      <c r="R65" s="56">
        <v>1.04356845298815</v>
      </c>
      <c r="S65" s="56">
        <v>1.2401738593707</v>
      </c>
    </row>
    <row r="66" spans="1:19" s="11" customFormat="1" ht="12.75">
      <c r="A66" s="54" t="s">
        <v>58</v>
      </c>
      <c r="B66" s="55">
        <v>33</v>
      </c>
      <c r="C66" s="56">
        <v>1.265</v>
      </c>
      <c r="D66" s="56">
        <v>0.813961796274924</v>
      </c>
      <c r="E66" s="57">
        <v>0.399021428571429</v>
      </c>
      <c r="F66" s="57">
        <v>0.848279957582185</v>
      </c>
      <c r="G66" s="57">
        <v>0.458956422755272</v>
      </c>
      <c r="H66" s="57">
        <v>0.154061142881713</v>
      </c>
      <c r="I66" s="57">
        <v>0.170645883421895</v>
      </c>
      <c r="J66" s="57">
        <v>0.246533333333333</v>
      </c>
      <c r="K66" s="57">
        <v>0.133856950000876</v>
      </c>
      <c r="L66" s="57">
        <v>0.100418588922049</v>
      </c>
      <c r="M66" s="57">
        <v>0.0196994562646373</v>
      </c>
      <c r="N66" s="57">
        <v>0.957387733819983</v>
      </c>
      <c r="O66" s="57">
        <v>0.0596298394491394</v>
      </c>
      <c r="P66" s="57">
        <v>0.123904549260396</v>
      </c>
      <c r="Q66" s="57">
        <v>-0.032922301135615</v>
      </c>
      <c r="R66" s="56">
        <v>1.6993455619493</v>
      </c>
      <c r="S66" s="56">
        <v>0.723846095442785</v>
      </c>
    </row>
    <row r="67" spans="1:19" s="11" customFormat="1" ht="12.75">
      <c r="A67" s="54" t="s">
        <v>37</v>
      </c>
      <c r="B67" s="55">
        <v>38</v>
      </c>
      <c r="C67" s="56">
        <v>1.2048</v>
      </c>
      <c r="D67" s="56">
        <v>0.635628627357349</v>
      </c>
      <c r="E67" s="57">
        <v>0.484172</v>
      </c>
      <c r="F67" s="57">
        <v>1.18102564382992</v>
      </c>
      <c r="G67" s="57">
        <v>0.541500118153595</v>
      </c>
      <c r="H67" s="57">
        <v>0.0574921234020465</v>
      </c>
      <c r="I67" s="57">
        <v>0.112104932290767</v>
      </c>
      <c r="J67" s="57">
        <v>0.136649473684211</v>
      </c>
      <c r="K67" s="57">
        <v>0.12236701338325</v>
      </c>
      <c r="L67" s="57">
        <v>0.103050042643121</v>
      </c>
      <c r="M67" s="57">
        <v>0.00804519042692108</v>
      </c>
      <c r="N67" s="57">
        <v>0.906191578385115</v>
      </c>
      <c r="O67" s="57">
        <v>0.113700970677782</v>
      </c>
      <c r="P67" s="57">
        <v>0.289214025755879</v>
      </c>
      <c r="Q67" s="57">
        <v>0.00620924745045132</v>
      </c>
      <c r="R67" s="56">
        <v>1.08786885881264</v>
      </c>
      <c r="S67" s="56">
        <v>0.740874505618372</v>
      </c>
    </row>
    <row r="68" spans="1:19" s="11" customFormat="1" ht="12.75">
      <c r="A68" s="54" t="s">
        <v>59</v>
      </c>
      <c r="B68" s="55">
        <v>25</v>
      </c>
      <c r="C68" s="56">
        <v>1.33583333333333</v>
      </c>
      <c r="D68" s="56">
        <v>1.29523556361951</v>
      </c>
      <c r="E68" s="57">
        <v>0.3735125</v>
      </c>
      <c r="F68" s="57">
        <v>0.146691696971407</v>
      </c>
      <c r="G68" s="57">
        <v>0.127926013032834</v>
      </c>
      <c r="H68" s="57">
        <v>0.261364487160008</v>
      </c>
      <c r="I68" s="57">
        <v>0.256061248769175</v>
      </c>
      <c r="J68" s="57">
        <v>0.3378816</v>
      </c>
      <c r="K68" s="57">
        <v>0.179617963474677</v>
      </c>
      <c r="L68" s="57">
        <v>0.104485959811021</v>
      </c>
      <c r="M68" s="57">
        <v>0.0510653416792271</v>
      </c>
      <c r="N68" s="57">
        <v>1.86977650098015</v>
      </c>
      <c r="O68" s="57">
        <v>0.022200358765512</v>
      </c>
      <c r="P68" s="57">
        <v>0.140413122985703</v>
      </c>
      <c r="Q68" s="57">
        <v>0.125173955247461</v>
      </c>
      <c r="R68" s="56">
        <v>2.45067614091216</v>
      </c>
      <c r="S68" s="56">
        <v>0.649962284891728</v>
      </c>
    </row>
    <row r="69" spans="1:19" s="11" customFormat="1" ht="12.75">
      <c r="A69" s="54" t="s">
        <v>60</v>
      </c>
      <c r="B69" s="55">
        <v>188</v>
      </c>
      <c r="C69" s="56">
        <v>1.24242857142857</v>
      </c>
      <c r="D69" s="56">
        <v>0.966477405339278</v>
      </c>
      <c r="E69" s="57">
        <v>0.782742857142857</v>
      </c>
      <c r="F69" s="57">
        <v>0.375689583799744</v>
      </c>
      <c r="G69" s="57">
        <v>0.273091828435645</v>
      </c>
      <c r="H69" s="57">
        <v>0.16747226857887</v>
      </c>
      <c r="I69" s="57">
        <v>0.234103775518932</v>
      </c>
      <c r="J69" s="57">
        <v>0.139785106382979</v>
      </c>
      <c r="K69" s="57">
        <v>0.385682863553641</v>
      </c>
      <c r="L69" s="57">
        <v>0.264262266091354</v>
      </c>
      <c r="M69" s="57">
        <v>0.0699483479243942</v>
      </c>
      <c r="N69" s="57">
        <v>2.91475198110241</v>
      </c>
      <c r="O69" s="57">
        <v>0.0288674914351842</v>
      </c>
      <c r="P69" s="57">
        <v>0.0512631642038062</v>
      </c>
      <c r="Q69" s="57">
        <v>0.426501136382302</v>
      </c>
      <c r="R69" s="56">
        <v>0.885876667075892</v>
      </c>
      <c r="S69" s="56">
        <v>1.28730993457607</v>
      </c>
    </row>
    <row r="70" spans="1:19" s="11" customFormat="1" ht="12.75">
      <c r="A70" s="54" t="s">
        <v>61</v>
      </c>
      <c r="B70" s="55">
        <v>19</v>
      </c>
      <c r="C70" s="56">
        <v>0.936666666666667</v>
      </c>
      <c r="D70" s="56">
        <v>0.809462378920553</v>
      </c>
      <c r="E70" s="57">
        <v>0.30961</v>
      </c>
      <c r="F70" s="57">
        <v>0.234994482034758</v>
      </c>
      <c r="G70" s="57">
        <v>0.190279782989463</v>
      </c>
      <c r="H70" s="57">
        <v>0.119942900007449</v>
      </c>
      <c r="I70" s="57">
        <v>0.121745919544183</v>
      </c>
      <c r="J70" s="57">
        <v>0.21128</v>
      </c>
      <c r="K70" s="57">
        <v>0.0641236377071431</v>
      </c>
      <c r="L70" s="57">
        <v>0.0413328127499118</v>
      </c>
      <c r="M70" s="57">
        <v>0.0143055469169403</v>
      </c>
      <c r="N70" s="57">
        <v>1.63330399295831</v>
      </c>
      <c r="O70" s="57">
        <v>0.0532968679769316</v>
      </c>
      <c r="P70" s="57">
        <v>0.0620478804073084</v>
      </c>
      <c r="Q70" s="57">
        <v>0.0263364619718764</v>
      </c>
      <c r="R70" s="56">
        <v>2.94550289332638</v>
      </c>
      <c r="S70" s="56">
        <v>0.561835006943434</v>
      </c>
    </row>
    <row r="71" spans="1:19" s="11" customFormat="1" ht="12.75">
      <c r="A71" s="54" t="s">
        <v>62</v>
      </c>
      <c r="B71" s="55">
        <v>66</v>
      </c>
      <c r="C71" s="56">
        <v>1.63</v>
      </c>
      <c r="D71" s="56">
        <v>0.949127675649148</v>
      </c>
      <c r="E71" s="57">
        <v>0.710911764705882</v>
      </c>
      <c r="F71" s="57">
        <v>1.0788314773145</v>
      </c>
      <c r="G71" s="57">
        <v>0.518960526183763</v>
      </c>
      <c r="H71" s="57">
        <v>0.190451335717336</v>
      </c>
      <c r="I71" s="57">
        <v>0.11705791101846</v>
      </c>
      <c r="J71" s="57">
        <v>0.0625216666666667</v>
      </c>
      <c r="K71" s="57">
        <v>0.180889408712967</v>
      </c>
      <c r="L71" s="57">
        <v>0.127445904637629</v>
      </c>
      <c r="M71" s="57">
        <v>0.0250344847826725</v>
      </c>
      <c r="N71" s="57">
        <v>1.97178451841639</v>
      </c>
      <c r="O71" s="57">
        <v>0.0695836315241709</v>
      </c>
      <c r="P71" s="57">
        <v>0.00191162148082716</v>
      </c>
      <c r="Q71" s="57">
        <v>0.124718614342505</v>
      </c>
      <c r="R71" s="56">
        <v>0.918490957801229</v>
      </c>
      <c r="S71" s="56">
        <v>1.53684509954871</v>
      </c>
    </row>
    <row r="72" spans="1:19" s="11" customFormat="1" ht="12.75">
      <c r="A72" s="54" t="s">
        <v>30</v>
      </c>
      <c r="B72" s="55">
        <v>75</v>
      </c>
      <c r="C72" s="56">
        <v>1.41454545454545</v>
      </c>
      <c r="D72" s="56">
        <v>1.37139976005138</v>
      </c>
      <c r="E72" s="57">
        <v>0.67331</v>
      </c>
      <c r="F72" s="57">
        <v>0.117682463539777</v>
      </c>
      <c r="G72" s="57">
        <v>0.105291500384706</v>
      </c>
      <c r="H72" s="57">
        <v>0.0331746571667118</v>
      </c>
      <c r="I72" s="57">
        <v>0.0854465569542035</v>
      </c>
      <c r="J72" s="57">
        <v>0.0593753333333333</v>
      </c>
      <c r="K72" s="57">
        <v>0.327986464982866</v>
      </c>
      <c r="L72" s="57">
        <v>0.237927273223786</v>
      </c>
      <c r="M72" s="57">
        <v>0.0932441949518821</v>
      </c>
      <c r="N72" s="57">
        <v>2.30192663695578</v>
      </c>
      <c r="O72" s="57">
        <v>0.00019300540209799</v>
      </c>
      <c r="P72" s="57">
        <v>0.199525989691852</v>
      </c>
      <c r="Q72" s="57">
        <v>0.517456857131689</v>
      </c>
      <c r="R72" s="56">
        <v>0.35912888756488</v>
      </c>
      <c r="S72" s="56">
        <v>4.72349922900502</v>
      </c>
    </row>
    <row r="73" spans="1:19" s="11" customFormat="1" ht="12.75">
      <c r="A73" s="54" t="s">
        <v>63</v>
      </c>
      <c r="B73" s="55">
        <v>90</v>
      </c>
      <c r="C73" s="56">
        <v>1.4663768115942</v>
      </c>
      <c r="D73" s="56">
        <v>1.58855937877798</v>
      </c>
      <c r="E73" s="57">
        <v>0.539563768115942</v>
      </c>
      <c r="F73" s="57">
        <v>0.226541589430938</v>
      </c>
      <c r="G73" s="57">
        <v>0.184699476465403</v>
      </c>
      <c r="H73" s="57">
        <v>0.152644608613644</v>
      </c>
      <c r="I73" s="57">
        <v>0.167609415013613</v>
      </c>
      <c r="J73" s="57">
        <v>0.143784444444444</v>
      </c>
      <c r="K73" s="57">
        <v>0.163053311712441</v>
      </c>
      <c r="L73" s="57">
        <v>0.125945347590457</v>
      </c>
      <c r="M73" s="57">
        <v>0.041060557981846</v>
      </c>
      <c r="N73" s="57">
        <v>0.5114839983296</v>
      </c>
      <c r="O73" s="57">
        <v>0.101258423588553</v>
      </c>
      <c r="P73" s="57">
        <v>0.0496206719011456</v>
      </c>
      <c r="Q73" s="57">
        <v>-0.148840025202215</v>
      </c>
      <c r="R73" s="56">
        <v>1.33081069067067</v>
      </c>
      <c r="S73" s="56">
        <v>0.923786877990531</v>
      </c>
    </row>
    <row r="74" spans="1:19" s="11" customFormat="1" ht="12.75">
      <c r="A74" s="54" t="s">
        <v>203</v>
      </c>
      <c r="B74" s="55">
        <v>17</v>
      </c>
      <c r="C74" s="56">
        <v>1.37833333333333</v>
      </c>
      <c r="D74" s="56">
        <v>0.464805399094562</v>
      </c>
      <c r="E74" s="57">
        <v>0.32785</v>
      </c>
      <c r="F74" s="57">
        <v>2.82911660107807</v>
      </c>
      <c r="G74" s="57">
        <v>0.738843157787764</v>
      </c>
      <c r="H74" s="57">
        <v>0.0957927871786268</v>
      </c>
      <c r="I74" s="57">
        <v>0.0980980556121359</v>
      </c>
      <c r="J74" s="57">
        <v>0.192688823529412</v>
      </c>
      <c r="K74" s="57">
        <v>0.355109877120626</v>
      </c>
      <c r="L74" s="57">
        <v>0.279856900378417</v>
      </c>
      <c r="M74" s="57">
        <v>0.0402086256501835</v>
      </c>
      <c r="N74" s="57">
        <v>6.08411739049162</v>
      </c>
      <c r="O74" s="57">
        <v>-0.178632878382017</v>
      </c>
      <c r="P74" s="57">
        <v>0.239038087294968</v>
      </c>
      <c r="Q74" s="57">
        <v>0.944030535052318</v>
      </c>
      <c r="R74" s="56">
        <v>0.350529343673461</v>
      </c>
      <c r="S74" s="56">
        <v>2.89648652862225</v>
      </c>
    </row>
    <row r="75" spans="1:19" s="11" customFormat="1" ht="12.75">
      <c r="A75" s="54" t="s">
        <v>64</v>
      </c>
      <c r="B75" s="55">
        <v>27</v>
      </c>
      <c r="C75" s="56">
        <v>1.23631578947368</v>
      </c>
      <c r="D75" s="56">
        <v>0.615381643206829</v>
      </c>
      <c r="E75" s="57">
        <v>0.392836842105263</v>
      </c>
      <c r="F75" s="57">
        <v>1.37134103565376</v>
      </c>
      <c r="G75" s="57">
        <v>0.578297686851141</v>
      </c>
      <c r="H75" s="57">
        <v>-0.663764342094556</v>
      </c>
      <c r="I75" s="57">
        <v>0.201167530910169</v>
      </c>
      <c r="J75" s="57">
        <v>0.207306296296296</v>
      </c>
      <c r="K75" s="57">
        <v>0.172562733426365</v>
      </c>
      <c r="L75" s="57">
        <v>0.102743044718047</v>
      </c>
      <c r="M75" s="57">
        <v>0.0130425618513242</v>
      </c>
      <c r="N75" s="57">
        <v>0.896900851957032</v>
      </c>
      <c r="O75" s="57">
        <v>0.0416678780126174</v>
      </c>
      <c r="P75" s="57">
        <v>0.806119897020963</v>
      </c>
      <c r="Q75" s="57">
        <v>-0.0109317016616116</v>
      </c>
      <c r="R75" s="56">
        <v>1.95796738808183</v>
      </c>
      <c r="S75" s="56">
        <v>0.890793528505393</v>
      </c>
    </row>
    <row r="76" spans="1:19" s="11" customFormat="1" ht="12.75">
      <c r="A76" s="54" t="s">
        <v>65</v>
      </c>
      <c r="B76" s="55">
        <v>144</v>
      </c>
      <c r="C76" s="56">
        <v>1.3456880733945</v>
      </c>
      <c r="D76" s="56">
        <v>0.920180822983936</v>
      </c>
      <c r="E76" s="57">
        <v>0.365240366972477</v>
      </c>
      <c r="F76" s="57">
        <v>0.531891673509435</v>
      </c>
      <c r="G76" s="57">
        <v>0.347212327547232</v>
      </c>
      <c r="H76" s="57">
        <v>0.0894839145867373</v>
      </c>
      <c r="I76" s="57">
        <v>0.0848992808600968</v>
      </c>
      <c r="J76" s="57">
        <v>0.0121234027777778</v>
      </c>
      <c r="K76" s="57">
        <v>0.181108170260771</v>
      </c>
      <c r="L76" s="57">
        <v>0.160810222877887</v>
      </c>
      <c r="M76" s="57">
        <v>0.611865607960544</v>
      </c>
      <c r="N76" s="57">
        <v>6.06999772365126</v>
      </c>
      <c r="O76" s="57">
        <v>-0.0411622626227564</v>
      </c>
      <c r="P76" s="57">
        <v>1.15463875334488</v>
      </c>
      <c r="Q76" s="57">
        <v>2.42891735548329</v>
      </c>
      <c r="R76" s="56">
        <v>0.527947038072113</v>
      </c>
      <c r="S76" s="56">
        <v>4.04826369303308</v>
      </c>
    </row>
    <row r="77" spans="1:19" s="11" customFormat="1" ht="12.75">
      <c r="A77" s="54" t="s">
        <v>66</v>
      </c>
      <c r="B77" s="55">
        <v>15</v>
      </c>
      <c r="C77" s="56">
        <v>1.24916666666667</v>
      </c>
      <c r="D77" s="56">
        <v>0.993401123743522</v>
      </c>
      <c r="E77" s="57">
        <v>0.304241666666667</v>
      </c>
      <c r="F77" s="57">
        <v>0.415278315043422</v>
      </c>
      <c r="G77" s="57">
        <v>0.293425194627306</v>
      </c>
      <c r="H77" s="57">
        <v>0.151169185711351</v>
      </c>
      <c r="I77" s="57">
        <v>0.139116399387992</v>
      </c>
      <c r="J77" s="57">
        <v>0.306152666666667</v>
      </c>
      <c r="K77" s="57">
        <v>0.319189923794006</v>
      </c>
      <c r="L77" s="57">
        <v>0.206034553902944</v>
      </c>
      <c r="M77" s="57">
        <v>0.0723762283440156</v>
      </c>
      <c r="N77" s="57">
        <v>1.90874467728711</v>
      </c>
      <c r="O77" s="57">
        <v>-0.0411469110257168</v>
      </c>
      <c r="P77" s="57">
        <v>0.141020809590602</v>
      </c>
      <c r="Q77" s="57">
        <v>0.188310883569571</v>
      </c>
      <c r="R77" s="56">
        <v>0.675209069317207</v>
      </c>
      <c r="S77" s="56">
        <v>2.03162801092983</v>
      </c>
    </row>
    <row r="78" spans="1:19" s="11" customFormat="1" ht="12.75">
      <c r="A78" s="54" t="s">
        <v>67</v>
      </c>
      <c r="B78" s="55">
        <v>64</v>
      </c>
      <c r="C78" s="56">
        <v>1.40976744186046</v>
      </c>
      <c r="D78" s="56">
        <v>1.00989550723283</v>
      </c>
      <c r="E78" s="57">
        <v>0.577532558139535</v>
      </c>
      <c r="F78" s="57">
        <v>0.625816825742127</v>
      </c>
      <c r="G78" s="57">
        <v>0.384924559663395</v>
      </c>
      <c r="H78" s="57">
        <v>0.144895612378888</v>
      </c>
      <c r="I78" s="57">
        <v>0.14018398716603</v>
      </c>
      <c r="J78" s="57">
        <v>0.19118125</v>
      </c>
      <c r="K78" s="57">
        <v>0.195616929593274</v>
      </c>
      <c r="L78" s="57">
        <v>0.156171173706023</v>
      </c>
      <c r="M78" s="57">
        <v>0.0448505885605941</v>
      </c>
      <c r="N78" s="57">
        <v>2.01189422280607</v>
      </c>
      <c r="O78" s="57">
        <v>-0.00795280981724338</v>
      </c>
      <c r="P78" s="57">
        <v>0.216695176555755</v>
      </c>
      <c r="Q78" s="57">
        <v>0.207250821434413</v>
      </c>
      <c r="R78" s="56">
        <v>0.897630361861229</v>
      </c>
      <c r="S78" s="56">
        <v>1.16445407548586</v>
      </c>
    </row>
    <row r="79" spans="1:19" s="11" customFormat="1" ht="12.75">
      <c r="A79" s="54" t="s">
        <v>204</v>
      </c>
      <c r="B79" s="55">
        <v>11</v>
      </c>
      <c r="C79" s="56">
        <v>0.90625</v>
      </c>
      <c r="D79" s="56">
        <v>1.00028495463767</v>
      </c>
      <c r="E79" s="57">
        <v>0.223342857142857</v>
      </c>
      <c r="F79" s="57">
        <v>0.113668169802519</v>
      </c>
      <c r="G79" s="57">
        <v>0.102066461882156</v>
      </c>
      <c r="H79" s="57">
        <v>0.170404616696177</v>
      </c>
      <c r="I79" s="57" t="s">
        <v>16</v>
      </c>
      <c r="J79" s="57">
        <v>0.0886636363636363</v>
      </c>
      <c r="K79" s="57" t="s">
        <v>16</v>
      </c>
      <c r="L79" s="57" t="s">
        <v>16</v>
      </c>
      <c r="M79" s="57" t="s">
        <v>16</v>
      </c>
      <c r="N79" s="57" t="s">
        <v>16</v>
      </c>
      <c r="O79" s="57" t="s">
        <v>16</v>
      </c>
      <c r="P79" s="57">
        <v>0.128494644346097</v>
      </c>
      <c r="Q79" s="57">
        <v>0</v>
      </c>
      <c r="R79" s="56" t="s">
        <v>16</v>
      </c>
      <c r="S79" s="56" t="s">
        <v>16</v>
      </c>
    </row>
    <row r="80" spans="1:19" s="11" customFormat="1" ht="12.75">
      <c r="A80" s="54" t="s">
        <v>68</v>
      </c>
      <c r="B80" s="55">
        <v>68</v>
      </c>
      <c r="C80" s="56">
        <v>1.2595652173913</v>
      </c>
      <c r="D80" s="56">
        <v>1.08573159954203</v>
      </c>
      <c r="E80" s="57">
        <v>0.489510869565217</v>
      </c>
      <c r="F80" s="57">
        <v>0.249707078835688</v>
      </c>
      <c r="G80" s="57">
        <v>0.199812486513506</v>
      </c>
      <c r="H80" s="57">
        <v>0.29699066209552</v>
      </c>
      <c r="I80" s="57">
        <v>0.221466528128382</v>
      </c>
      <c r="J80" s="57">
        <v>0.201032058823529</v>
      </c>
      <c r="K80" s="57">
        <v>0.163512137417689</v>
      </c>
      <c r="L80" s="57">
        <v>0.131591993198916</v>
      </c>
      <c r="M80" s="57">
        <v>0.0410349118243166</v>
      </c>
      <c r="N80" s="57">
        <v>1.78564268730477</v>
      </c>
      <c r="O80" s="57">
        <v>-0.0511142763303044</v>
      </c>
      <c r="P80" s="57">
        <v>0.211827642389157</v>
      </c>
      <c r="Q80" s="57">
        <v>0.149661529741294</v>
      </c>
      <c r="R80" s="56">
        <v>1.68297874927398</v>
      </c>
      <c r="S80" s="56">
        <v>1.57420311778413</v>
      </c>
    </row>
    <row r="81" spans="1:19" s="11" customFormat="1" ht="12.75">
      <c r="A81" s="54" t="s">
        <v>69</v>
      </c>
      <c r="B81" s="55">
        <v>155</v>
      </c>
      <c r="C81" s="56">
        <v>1.25982608695652</v>
      </c>
      <c r="D81" s="56">
        <v>1.22204422373668</v>
      </c>
      <c r="E81" s="57">
        <v>0.571487068965518</v>
      </c>
      <c r="F81" s="57">
        <v>0.260725307623334</v>
      </c>
      <c r="G81" s="57">
        <v>0.206805801427785</v>
      </c>
      <c r="H81" s="57">
        <v>0.2303000764704</v>
      </c>
      <c r="I81" s="57">
        <v>0.226491369899637</v>
      </c>
      <c r="J81" s="57">
        <v>0.230750064516129</v>
      </c>
      <c r="K81" s="57">
        <v>0.0936810337266783</v>
      </c>
      <c r="L81" s="57">
        <v>0.0606110189246275</v>
      </c>
      <c r="M81" s="57">
        <v>0.0182162932546643</v>
      </c>
      <c r="N81" s="57">
        <v>1.39682617697473</v>
      </c>
      <c r="O81" s="57">
        <v>0.0629520525320637</v>
      </c>
      <c r="P81" s="57">
        <v>0.0970289226676971</v>
      </c>
      <c r="Q81" s="57">
        <v>0.0959973592110572</v>
      </c>
      <c r="R81" s="56">
        <v>3.73680188715007</v>
      </c>
      <c r="S81" s="56">
        <v>0.401931342830945</v>
      </c>
    </row>
    <row r="82" spans="1:19" s="11" customFormat="1" ht="12.75">
      <c r="A82" s="54" t="s">
        <v>114</v>
      </c>
      <c r="B82" s="55">
        <v>16</v>
      </c>
      <c r="C82" s="56">
        <v>1.31333333333333</v>
      </c>
      <c r="D82" s="56">
        <v>0.931989712904759</v>
      </c>
      <c r="E82" s="57">
        <v>0.35232</v>
      </c>
      <c r="F82" s="57">
        <v>0.668770956862051</v>
      </c>
      <c r="G82" s="57">
        <v>0.400756589220371</v>
      </c>
      <c r="H82" s="57">
        <v>0.16174553095422</v>
      </c>
      <c r="I82" s="57">
        <v>0.116660794262506</v>
      </c>
      <c r="J82" s="57">
        <v>0.3422925</v>
      </c>
      <c r="K82" s="57">
        <v>0.0672144118780989</v>
      </c>
      <c r="L82" s="57">
        <v>0.0431379940858311</v>
      </c>
      <c r="M82" s="57">
        <v>0.0126027722736769</v>
      </c>
      <c r="N82" s="57">
        <v>2.33041933523444</v>
      </c>
      <c r="O82" s="57">
        <v>0.128631212286946</v>
      </c>
      <c r="P82" s="57">
        <v>0.0195944169502011</v>
      </c>
      <c r="Q82" s="57">
        <v>0.241406972215557</v>
      </c>
      <c r="R82" s="56">
        <v>2.70436298058709</v>
      </c>
      <c r="S82" s="56">
        <v>0.465367873185515</v>
      </c>
    </row>
    <row r="83" spans="1:19" s="11" customFormat="1" ht="12.75">
      <c r="A83" s="54" t="s">
        <v>70</v>
      </c>
      <c r="B83" s="55">
        <v>8</v>
      </c>
      <c r="C83" s="56">
        <v>1.01428571428571</v>
      </c>
      <c r="D83" s="56">
        <v>0.862209817360273</v>
      </c>
      <c r="E83" s="57">
        <v>0.248228571428571</v>
      </c>
      <c r="F83" s="57">
        <v>0.26345284793139</v>
      </c>
      <c r="G83" s="57">
        <v>0.208518147996368</v>
      </c>
      <c r="H83" s="57">
        <v>0.210699860803688</v>
      </c>
      <c r="I83" s="57">
        <v>0.178198528762073</v>
      </c>
      <c r="J83" s="57">
        <v>0.2812375</v>
      </c>
      <c r="K83" s="57">
        <v>0.115904503135527</v>
      </c>
      <c r="L83" s="57">
        <v>0.0730532647558138</v>
      </c>
      <c r="M83" s="57">
        <v>0.022608034013588</v>
      </c>
      <c r="N83" s="57">
        <v>2.4252743806836</v>
      </c>
      <c r="O83" s="57">
        <v>0.0506770291871867</v>
      </c>
      <c r="P83" s="57">
        <v>0.145457166838144</v>
      </c>
      <c r="Q83" s="57">
        <v>0.234230132577129</v>
      </c>
      <c r="R83" s="56">
        <v>2.43929589399892</v>
      </c>
      <c r="S83" s="56">
        <v>0.723226472900655</v>
      </c>
    </row>
    <row r="84" spans="1:19" s="11" customFormat="1" ht="12.75">
      <c r="A84" s="54" t="s">
        <v>172</v>
      </c>
      <c r="B84" s="55">
        <v>38</v>
      </c>
      <c r="C84" s="56">
        <v>1.00606060606061</v>
      </c>
      <c r="D84" s="56">
        <v>0.862531802257041</v>
      </c>
      <c r="E84" s="57">
        <v>0.402976666666666</v>
      </c>
      <c r="F84" s="57">
        <v>0.302895382536308</v>
      </c>
      <c r="G84" s="57">
        <v>0.232478667586242</v>
      </c>
      <c r="H84" s="57">
        <v>0.19893723228425</v>
      </c>
      <c r="I84" s="57">
        <v>0.151899839989978</v>
      </c>
      <c r="J84" s="57">
        <v>0.256841842105263</v>
      </c>
      <c r="K84" s="57">
        <v>0.069349093231791</v>
      </c>
      <c r="L84" s="57">
        <v>0.0446934066804075</v>
      </c>
      <c r="M84" s="57">
        <v>0.0155738567398795</v>
      </c>
      <c r="N84" s="57">
        <v>2.02227864926659</v>
      </c>
      <c r="O84" s="57">
        <v>0.0153190412734987</v>
      </c>
      <c r="P84" s="57">
        <v>0.111797069269851</v>
      </c>
      <c r="Q84" s="57">
        <v>0.222786190531659</v>
      </c>
      <c r="R84" s="56">
        <v>3.39870802591039</v>
      </c>
      <c r="S84" s="56">
        <v>0.53840296492817</v>
      </c>
    </row>
    <row r="85" spans="1:19" s="11" customFormat="1" ht="12.75">
      <c r="A85" s="54" t="s">
        <v>82</v>
      </c>
      <c r="B85" s="55">
        <v>32</v>
      </c>
      <c r="C85" s="56">
        <v>1.36684210526316</v>
      </c>
      <c r="D85" s="56">
        <v>0.368105734187753</v>
      </c>
      <c r="E85" s="57">
        <v>0.512505263157895</v>
      </c>
      <c r="F85" s="57">
        <v>4.62272578593777</v>
      </c>
      <c r="G85" s="57">
        <v>0.822150316755449</v>
      </c>
      <c r="H85" s="57">
        <v>-0.110964634067864</v>
      </c>
      <c r="I85" s="57">
        <v>0.153534378499191</v>
      </c>
      <c r="J85" s="57">
        <v>0.2215659375</v>
      </c>
      <c r="K85" s="57">
        <v>0.339467933988281</v>
      </c>
      <c r="L85" s="57">
        <v>0.25614773718329</v>
      </c>
      <c r="M85" s="57">
        <v>-0.0139594418465592</v>
      </c>
      <c r="N85" s="57">
        <v>1.66763105507631</v>
      </c>
      <c r="O85" s="57">
        <v>1.20388701768482</v>
      </c>
      <c r="P85" s="57">
        <v>0.280168014316013</v>
      </c>
      <c r="Q85" s="57">
        <v>1.40866667170339</v>
      </c>
      <c r="R85" s="56">
        <v>0.599397754544002</v>
      </c>
      <c r="S85" s="56">
        <v>1.81993026974925</v>
      </c>
    </row>
    <row r="86" spans="1:19" s="11" customFormat="1" ht="12.75">
      <c r="A86" s="54" t="s">
        <v>83</v>
      </c>
      <c r="B86" s="55">
        <v>122</v>
      </c>
      <c r="C86" s="56">
        <v>1.80894117647059</v>
      </c>
      <c r="D86" s="56">
        <v>2.11340974082554</v>
      </c>
      <c r="E86" s="57">
        <v>0.591971764705882</v>
      </c>
      <c r="F86" s="57">
        <v>0.133150587625873</v>
      </c>
      <c r="G86" s="57">
        <v>0.11750475980853</v>
      </c>
      <c r="H86" s="57">
        <v>0.22178736959904</v>
      </c>
      <c r="I86" s="57">
        <v>0.286650645077564</v>
      </c>
      <c r="J86" s="57">
        <v>0.104755081967213</v>
      </c>
      <c r="K86" s="57">
        <v>0.277274661000257</v>
      </c>
      <c r="L86" s="57">
        <v>0.219657135761437</v>
      </c>
      <c r="M86" s="57">
        <v>0.0469281614039446</v>
      </c>
      <c r="N86" s="57">
        <v>1.10683215916484</v>
      </c>
      <c r="O86" s="57">
        <v>0.0897282430286307</v>
      </c>
      <c r="P86" s="57">
        <v>0.218173183410555</v>
      </c>
      <c r="Q86" s="57">
        <v>0.0149666831550264</v>
      </c>
      <c r="R86" s="56">
        <v>1.30499127234768</v>
      </c>
      <c r="S86" s="56">
        <v>1.31448110654683</v>
      </c>
    </row>
    <row r="87" spans="1:19" s="11" customFormat="1" ht="12.75">
      <c r="A87" s="54" t="s">
        <v>38</v>
      </c>
      <c r="B87" s="55">
        <v>16</v>
      </c>
      <c r="C87" s="56">
        <v>1.77733333333333</v>
      </c>
      <c r="D87" s="56">
        <v>2.20115655471094</v>
      </c>
      <c r="E87" s="57">
        <v>0.433513333333333</v>
      </c>
      <c r="F87" s="57">
        <v>0.13615706808642</v>
      </c>
      <c r="G87" s="57">
        <v>0.119840004442118</v>
      </c>
      <c r="H87" s="57">
        <v>0.323679129366333</v>
      </c>
      <c r="I87" s="57">
        <v>0.299060144394271</v>
      </c>
      <c r="J87" s="57">
        <v>0.2202825</v>
      </c>
      <c r="K87" s="57">
        <v>0.237532067538298</v>
      </c>
      <c r="L87" s="57">
        <v>0.174079364778716</v>
      </c>
      <c r="M87" s="57">
        <v>0.0456839326896939</v>
      </c>
      <c r="N87" s="57">
        <v>0.951497037386608</v>
      </c>
      <c r="O87" s="57">
        <v>0.156205333263182</v>
      </c>
      <c r="P87" s="57">
        <v>0.0500976138828633</v>
      </c>
      <c r="Q87" s="57">
        <v>0.0505605164693741</v>
      </c>
      <c r="R87" s="56">
        <v>1.71795287037281</v>
      </c>
      <c r="S87" s="56">
        <v>0.806943238716579</v>
      </c>
    </row>
    <row r="88" spans="1:19" s="11" customFormat="1" ht="12.75">
      <c r="A88" s="54" t="s">
        <v>84</v>
      </c>
      <c r="B88" s="55">
        <v>19</v>
      </c>
      <c r="C88" s="56">
        <v>1.228125</v>
      </c>
      <c r="D88" s="56">
        <v>1.39218580318036</v>
      </c>
      <c r="E88" s="57">
        <v>0.3932</v>
      </c>
      <c r="F88" s="57">
        <v>0.0366040105382421</v>
      </c>
      <c r="G88" s="57">
        <v>0.0353114691493775</v>
      </c>
      <c r="H88" s="57">
        <v>0.283960946680037</v>
      </c>
      <c r="I88" s="57">
        <v>0.284568710396659</v>
      </c>
      <c r="J88" s="57">
        <v>0.303476315789474</v>
      </c>
      <c r="K88" s="57">
        <v>0.125161213873485</v>
      </c>
      <c r="L88" s="57">
        <v>0.0843803193113891</v>
      </c>
      <c r="M88" s="57">
        <v>0.0167718299048451</v>
      </c>
      <c r="N88" s="57">
        <v>1.35597851691322</v>
      </c>
      <c r="O88" s="57">
        <v>0.161500418449174</v>
      </c>
      <c r="P88" s="57">
        <v>0.118891175769656</v>
      </c>
      <c r="Q88" s="57">
        <v>0.014218829116384</v>
      </c>
      <c r="R88" s="56">
        <v>3.37245358537355</v>
      </c>
      <c r="S88" s="56">
        <v>0.842692135896812</v>
      </c>
    </row>
    <row r="89" spans="1:19" s="11" customFormat="1" ht="12.75">
      <c r="A89" s="54" t="s">
        <v>85</v>
      </c>
      <c r="B89" s="55">
        <v>20</v>
      </c>
      <c r="C89" s="56">
        <v>1.71294117647059</v>
      </c>
      <c r="D89" s="56">
        <v>1.53391269676218</v>
      </c>
      <c r="E89" s="57">
        <v>0.442476470588235</v>
      </c>
      <c r="F89" s="57">
        <v>0.32175923278941</v>
      </c>
      <c r="G89" s="57">
        <v>0.243432559279633</v>
      </c>
      <c r="H89" s="57">
        <v>0.270253317780663</v>
      </c>
      <c r="I89" s="57">
        <v>0.215442774147074</v>
      </c>
      <c r="J89" s="57">
        <v>0.29145</v>
      </c>
      <c r="K89" s="57">
        <v>0.125322920842993</v>
      </c>
      <c r="L89" s="57">
        <v>0.0828938484581728</v>
      </c>
      <c r="M89" s="57">
        <v>0.0436296128436209</v>
      </c>
      <c r="N89" s="57">
        <v>1.87145378037193</v>
      </c>
      <c r="O89" s="57">
        <v>0.143333275227918</v>
      </c>
      <c r="P89" s="57">
        <v>0.0942743325596862</v>
      </c>
      <c r="Q89" s="57">
        <v>-0.13357688695031</v>
      </c>
      <c r="R89" s="56">
        <v>2.59902004979035</v>
      </c>
      <c r="S89" s="56">
        <v>0.549700176059407</v>
      </c>
    </row>
    <row r="90" spans="1:19" s="11" customFormat="1" ht="12.75">
      <c r="A90" s="54" t="s">
        <v>86</v>
      </c>
      <c r="B90" s="55">
        <v>14</v>
      </c>
      <c r="C90" s="56">
        <v>1.95666666666667</v>
      </c>
      <c r="D90" s="56">
        <v>1.53504047861449</v>
      </c>
      <c r="E90" s="57">
        <v>0.490344444444444</v>
      </c>
      <c r="F90" s="57">
        <v>0.649573605778131</v>
      </c>
      <c r="G90" s="57">
        <v>0.393782734824807</v>
      </c>
      <c r="H90" s="57">
        <v>0.209567064092058</v>
      </c>
      <c r="I90" s="57">
        <v>0.19411540476911399</v>
      </c>
      <c r="J90" s="57">
        <v>0.298991428571429</v>
      </c>
      <c r="K90" s="57">
        <v>0.187835899858782</v>
      </c>
      <c r="L90" s="57">
        <v>0.144072277474694</v>
      </c>
      <c r="M90" s="57">
        <v>0.0567322203790826</v>
      </c>
      <c r="N90" s="57">
        <v>1.24023054612469</v>
      </c>
      <c r="O90" s="57">
        <v>0.154900003206387</v>
      </c>
      <c r="P90" s="57">
        <v>0.0634781986110117</v>
      </c>
      <c r="Q90" s="57">
        <v>-0.0804001286022834</v>
      </c>
      <c r="R90" s="56">
        <v>1.34734737432891</v>
      </c>
      <c r="S90" s="56">
        <v>0.594567996915291</v>
      </c>
    </row>
    <row r="91" spans="1:19" s="11" customFormat="1" ht="12.75">
      <c r="A91" s="54" t="s">
        <v>87</v>
      </c>
      <c r="B91" s="55">
        <v>110</v>
      </c>
      <c r="C91" s="56">
        <v>1.487875</v>
      </c>
      <c r="D91" s="56">
        <v>1.86997639111462</v>
      </c>
      <c r="E91" s="57">
        <v>0.75070625</v>
      </c>
      <c r="F91" s="57">
        <v>0.127103539590026</v>
      </c>
      <c r="G91" s="57">
        <v>0.112770065149701</v>
      </c>
      <c r="H91" s="57">
        <v>0.353723088174795</v>
      </c>
      <c r="I91" s="57">
        <v>0.265766852918803</v>
      </c>
      <c r="J91" s="57">
        <v>0.120774382445141</v>
      </c>
      <c r="K91" s="57">
        <v>0.139669297218187</v>
      </c>
      <c r="L91" s="57">
        <v>0.106159919330693</v>
      </c>
      <c r="M91" s="57">
        <v>0.0280755170286552</v>
      </c>
      <c r="N91" s="57">
        <v>0.715968620913412</v>
      </c>
      <c r="O91" s="57">
        <v>0.00251660699902162</v>
      </c>
      <c r="P91" s="57">
        <v>0.130630513629002</v>
      </c>
      <c r="Q91" s="57">
        <v>-0.0729037904239326</v>
      </c>
      <c r="R91" s="56">
        <v>2.50345756283901</v>
      </c>
      <c r="S91" s="56">
        <v>0.903336062696016</v>
      </c>
    </row>
    <row r="92" spans="1:19" s="11" customFormat="1" ht="12.75">
      <c r="A92" s="54" t="s">
        <v>88</v>
      </c>
      <c r="B92" s="55">
        <v>140</v>
      </c>
      <c r="C92" s="56">
        <v>1.4256</v>
      </c>
      <c r="D92" s="56">
        <v>1.05634600694537</v>
      </c>
      <c r="E92" s="57">
        <v>0.821364</v>
      </c>
      <c r="F92" s="57">
        <v>0.513197683194304</v>
      </c>
      <c r="G92" s="57">
        <v>0.339147811878064</v>
      </c>
      <c r="H92" s="57">
        <v>0.161754426032608</v>
      </c>
      <c r="I92" s="57">
        <v>0.222185136715045</v>
      </c>
      <c r="J92" s="57">
        <v>0.158962214285714</v>
      </c>
      <c r="K92" s="57">
        <v>0.397951054703086</v>
      </c>
      <c r="L92" s="57">
        <v>0.283758539425468</v>
      </c>
      <c r="M92" s="57">
        <v>0.0344824208506167</v>
      </c>
      <c r="N92" s="57">
        <v>1.90131715200082</v>
      </c>
      <c r="O92" s="57">
        <v>-0.10847778555067</v>
      </c>
      <c r="P92" s="57">
        <v>0.21105287579847</v>
      </c>
      <c r="Q92" s="57">
        <v>-0.014114776664678</v>
      </c>
      <c r="R92" s="56">
        <v>0.783007754286119</v>
      </c>
      <c r="S92" s="56">
        <v>1.68793200204437</v>
      </c>
    </row>
    <row r="93" spans="1:19" s="11" customFormat="1" ht="12.75">
      <c r="A93" s="54" t="s">
        <v>89</v>
      </c>
      <c r="B93" s="55">
        <v>234</v>
      </c>
      <c r="C93" s="56">
        <v>0.660144927536232</v>
      </c>
      <c r="D93" s="56">
        <v>0.690234433773135</v>
      </c>
      <c r="E93" s="57">
        <v>0.316158088235294</v>
      </c>
      <c r="F93" s="57">
        <v>0.0971028737334387</v>
      </c>
      <c r="G93" s="57">
        <v>0.0885084489871017</v>
      </c>
      <c r="H93" s="57">
        <v>0.06688757779035</v>
      </c>
      <c r="I93" s="57" t="s">
        <v>16</v>
      </c>
      <c r="J93" s="57">
        <v>0.17044594017094</v>
      </c>
      <c r="K93" s="57" t="s">
        <v>16</v>
      </c>
      <c r="L93" s="57" t="s">
        <v>16</v>
      </c>
      <c r="M93" s="57" t="s">
        <v>16</v>
      </c>
      <c r="N93" s="57" t="s">
        <v>16</v>
      </c>
      <c r="O93" s="57" t="s">
        <v>16</v>
      </c>
      <c r="P93" s="57">
        <v>0.641555501852747</v>
      </c>
      <c r="Q93" s="57">
        <v>4.22328492712805</v>
      </c>
      <c r="R93" s="56" t="s">
        <v>16</v>
      </c>
      <c r="S93" s="56" t="s">
        <v>16</v>
      </c>
    </row>
    <row r="94" spans="1:19" s="11" customFormat="1" ht="12.75">
      <c r="A94" s="54" t="s">
        <v>90</v>
      </c>
      <c r="B94" s="55">
        <v>12</v>
      </c>
      <c r="C94" s="56">
        <v>0.7125</v>
      </c>
      <c r="D94" s="56">
        <v>0.686844590419386</v>
      </c>
      <c r="E94" s="57">
        <v>0.296883333333333</v>
      </c>
      <c r="F94" s="57">
        <v>0.0884254846579631</v>
      </c>
      <c r="G94" s="57">
        <v>0.0812416521887585</v>
      </c>
      <c r="H94" s="57">
        <v>0.704343924275122</v>
      </c>
      <c r="I94" s="57">
        <v>0.326435980645726</v>
      </c>
      <c r="J94" s="57">
        <v>0.202496666666667</v>
      </c>
      <c r="K94" s="57">
        <v>0.0967599594374207</v>
      </c>
      <c r="L94" s="57">
        <v>0.0665775478587907</v>
      </c>
      <c r="M94" s="57">
        <v>0.0300094262694972</v>
      </c>
      <c r="N94" s="57">
        <v>3.31234995998933</v>
      </c>
      <c r="O94" s="57">
        <v>0.00778146387700199</v>
      </c>
      <c r="P94" s="57">
        <v>0.320920094648708</v>
      </c>
      <c r="Q94" s="57">
        <v>0.243037936869534</v>
      </c>
      <c r="R94" s="56">
        <v>4.90309407817316</v>
      </c>
      <c r="S94" s="56">
        <v>1.47109741988542</v>
      </c>
    </row>
    <row r="95" spans="1:19" s="11" customFormat="1" ht="12.75">
      <c r="A95" s="54" t="s">
        <v>91</v>
      </c>
      <c r="B95" s="55">
        <v>23</v>
      </c>
      <c r="C95" s="56">
        <v>0.952631578947368</v>
      </c>
      <c r="D95" s="56">
        <v>0.792023575288303</v>
      </c>
      <c r="E95" s="57">
        <v>0.517033333333333</v>
      </c>
      <c r="F95" s="57">
        <v>0.385047034586499</v>
      </c>
      <c r="G95" s="57">
        <v>0.278002858366072</v>
      </c>
      <c r="H95" s="57">
        <v>0.984086242299795</v>
      </c>
      <c r="I95" s="57">
        <v>0.231067578200375</v>
      </c>
      <c r="J95" s="57">
        <v>0.232778260869565</v>
      </c>
      <c r="K95" s="57">
        <v>0.120349662437386</v>
      </c>
      <c r="L95" s="57">
        <v>0.0796636686299156</v>
      </c>
      <c r="M95" s="57">
        <v>0.0303997159463285</v>
      </c>
      <c r="N95" s="57">
        <v>1.17560015241966</v>
      </c>
      <c r="O95" s="57">
        <v>0.0854019309676574</v>
      </c>
      <c r="P95" s="57">
        <v>0.167224830464267</v>
      </c>
      <c r="Q95" s="57">
        <v>0.0077512034221907</v>
      </c>
      <c r="R95" s="56">
        <v>2.90053900572694</v>
      </c>
      <c r="S95" s="56">
        <v>0.978750727970493</v>
      </c>
    </row>
    <row r="96" spans="1:19" s="11" customFormat="1" ht="12.75">
      <c r="A96" s="54" t="s">
        <v>143</v>
      </c>
      <c r="B96" s="55">
        <v>33</v>
      </c>
      <c r="C96" s="56">
        <v>1.1671875</v>
      </c>
      <c r="D96" s="56">
        <v>0.664949704218651</v>
      </c>
      <c r="E96" s="57">
        <v>0.388492307692308</v>
      </c>
      <c r="F96" s="57">
        <v>1.26801676321952</v>
      </c>
      <c r="G96" s="57">
        <v>0.559086151294373</v>
      </c>
      <c r="H96" s="57">
        <v>0.120312055288374</v>
      </c>
      <c r="I96" s="57">
        <v>0.12671061426566</v>
      </c>
      <c r="J96" s="57">
        <v>0.331856666666667</v>
      </c>
      <c r="K96" s="57">
        <v>0.132754252128098</v>
      </c>
      <c r="L96" s="57">
        <v>0.0854050808552979</v>
      </c>
      <c r="M96" s="57">
        <v>0.00951253910039758</v>
      </c>
      <c r="N96" s="57">
        <v>6.82724590497507</v>
      </c>
      <c r="O96" s="57">
        <v>0.0526816043814709</v>
      </c>
      <c r="P96" s="57">
        <v>0.080586861579522</v>
      </c>
      <c r="Q96" s="57">
        <v>1.70958158089396</v>
      </c>
      <c r="R96" s="56">
        <v>1.48364257719451</v>
      </c>
      <c r="S96" s="56">
        <v>0.748605743830208</v>
      </c>
    </row>
    <row r="97" spans="1:19" s="11" customFormat="1" ht="12.75">
      <c r="A97" s="54" t="s">
        <v>144</v>
      </c>
      <c r="B97" s="55">
        <v>5</v>
      </c>
      <c r="C97" s="56">
        <v>1.226</v>
      </c>
      <c r="D97" s="56">
        <v>0.845856000990403</v>
      </c>
      <c r="E97" s="57">
        <v>0.28014</v>
      </c>
      <c r="F97" s="57">
        <v>0.628185442928255</v>
      </c>
      <c r="G97" s="57">
        <v>0.385819346104997</v>
      </c>
      <c r="H97" s="57">
        <v>0.0388683922591254</v>
      </c>
      <c r="I97" s="57">
        <v>0.0992587313828738</v>
      </c>
      <c r="J97" s="57">
        <v>0.150066</v>
      </c>
      <c r="K97" s="57">
        <v>0.152926284004049</v>
      </c>
      <c r="L97" s="57">
        <v>0.0946919281603406</v>
      </c>
      <c r="M97" s="57">
        <v>0.000111657802817175</v>
      </c>
      <c r="N97" s="57">
        <v>1.43729980331554</v>
      </c>
      <c r="O97" s="57">
        <v>0.0462141936486129</v>
      </c>
      <c r="P97" s="57">
        <v>0</v>
      </c>
      <c r="Q97" s="57">
        <v>4.37655579304302E-05</v>
      </c>
      <c r="R97" s="56">
        <v>1.04822800962296</v>
      </c>
      <c r="S97" s="56">
        <v>0.904761962555799</v>
      </c>
    </row>
    <row r="98" spans="1:19" s="11" customFormat="1" ht="12.75">
      <c r="A98" s="54" t="s">
        <v>92</v>
      </c>
      <c r="B98" s="55">
        <v>16</v>
      </c>
      <c r="C98" s="56">
        <v>0.860714285714286</v>
      </c>
      <c r="D98" s="56">
        <v>0.565898733947475</v>
      </c>
      <c r="E98" s="57">
        <v>0.358723076923077</v>
      </c>
      <c r="F98" s="57">
        <v>0.827945073074808</v>
      </c>
      <c r="G98" s="57">
        <v>0.4529376102544</v>
      </c>
      <c r="H98" s="57">
        <v>0.00630997608411711</v>
      </c>
      <c r="I98" s="57">
        <v>0.0811000253667807</v>
      </c>
      <c r="J98" s="57">
        <v>0.354591875</v>
      </c>
      <c r="K98" s="57">
        <v>0.404457792406213</v>
      </c>
      <c r="L98" s="57">
        <v>0.259304694301604</v>
      </c>
      <c r="M98" s="57">
        <v>0.0363101422198165</v>
      </c>
      <c r="N98" s="57">
        <v>2.6228152309613</v>
      </c>
      <c r="O98" s="57">
        <v>0.0168236701268541</v>
      </c>
      <c r="P98" s="57">
        <v>2.74146502835539</v>
      </c>
      <c r="Q98" s="57">
        <v>0.184184782259836</v>
      </c>
      <c r="R98" s="56">
        <v>0.312759572614799</v>
      </c>
      <c r="S98" s="56">
        <v>3.7971381426738</v>
      </c>
    </row>
    <row r="99" spans="1:19" s="11" customFormat="1" ht="12.75">
      <c r="A99" s="54" t="s">
        <v>93</v>
      </c>
      <c r="B99" s="55">
        <v>57</v>
      </c>
      <c r="C99" s="56">
        <v>1.53805555555556</v>
      </c>
      <c r="D99" s="56">
        <v>1.27922167556108</v>
      </c>
      <c r="E99" s="57">
        <v>0.584083333333333</v>
      </c>
      <c r="F99" s="57">
        <v>0.363718623373025</v>
      </c>
      <c r="G99" s="57">
        <v>0.266710901456638</v>
      </c>
      <c r="H99" s="57">
        <v>0.078499318749933</v>
      </c>
      <c r="I99" s="57">
        <v>0.102091929643746</v>
      </c>
      <c r="J99" s="57">
        <v>0.140828596491228</v>
      </c>
      <c r="K99" s="57">
        <v>0.182824016167417</v>
      </c>
      <c r="L99" s="57">
        <v>0.116281932412501</v>
      </c>
      <c r="M99" s="57">
        <v>0.0352099127857265</v>
      </c>
      <c r="N99" s="57">
        <v>0.829612085814804</v>
      </c>
      <c r="O99" s="57">
        <v>0.0690766972581657</v>
      </c>
      <c r="P99" s="57">
        <v>0.0152612637237484</v>
      </c>
      <c r="Q99" s="57">
        <v>-0.327715057944081</v>
      </c>
      <c r="R99" s="56">
        <v>0.877968980439566</v>
      </c>
      <c r="S99" s="56">
        <v>2.3609684062019</v>
      </c>
    </row>
    <row r="100" spans="1:19" s="11" customFormat="1" ht="12.75">
      <c r="A100" s="54" t="s">
        <v>39</v>
      </c>
      <c r="B100" s="55">
        <v>10</v>
      </c>
      <c r="C100" s="56">
        <v>2.084</v>
      </c>
      <c r="D100" s="56">
        <v>0.484539000114653</v>
      </c>
      <c r="E100" s="57">
        <v>0.45586</v>
      </c>
      <c r="F100" s="57">
        <v>3.91145581961042</v>
      </c>
      <c r="G100" s="57">
        <v>0.796394381477034</v>
      </c>
      <c r="H100" s="57">
        <v>0.177228061982687</v>
      </c>
      <c r="I100" s="57">
        <v>0.064587942895923</v>
      </c>
      <c r="J100" s="57">
        <v>0.067046</v>
      </c>
      <c r="K100" s="57">
        <v>0.532856804128108</v>
      </c>
      <c r="L100" s="57">
        <v>0.475671786259542</v>
      </c>
      <c r="M100" s="57">
        <v>0.228956458697599</v>
      </c>
      <c r="N100" s="57">
        <v>0.156615661566157</v>
      </c>
      <c r="O100" s="57">
        <v>0.331075952066186</v>
      </c>
      <c r="P100" s="57">
        <v>0.23459121355398</v>
      </c>
      <c r="Q100" s="57">
        <v>0.00729075414472703</v>
      </c>
      <c r="R100" s="56">
        <v>0.135782581102428</v>
      </c>
      <c r="S100" s="56">
        <v>4.01473836837392</v>
      </c>
    </row>
    <row r="101" spans="1:19" s="11" customFormat="1" ht="12.75">
      <c r="A101" s="54" t="s">
        <v>40</v>
      </c>
      <c r="B101" s="55">
        <v>6</v>
      </c>
      <c r="C101" s="56">
        <v>1.40666666666667</v>
      </c>
      <c r="D101" s="56">
        <v>1.0202910870497</v>
      </c>
      <c r="E101" s="57">
        <v>0.2993</v>
      </c>
      <c r="F101" s="57">
        <v>0.67251255953546</v>
      </c>
      <c r="G101" s="57">
        <v>0.402097165549687</v>
      </c>
      <c r="H101" s="57">
        <v>0.15042986040177</v>
      </c>
      <c r="I101" s="57">
        <v>0.116748529584898</v>
      </c>
      <c r="J101" s="57">
        <v>0.332623333333333</v>
      </c>
      <c r="K101" s="57">
        <v>0.208180778032037</v>
      </c>
      <c r="L101" s="57">
        <v>0.131615933867277</v>
      </c>
      <c r="M101" s="57">
        <v>0.0296453089244851</v>
      </c>
      <c r="N101" s="57">
        <v>1.16525634644102</v>
      </c>
      <c r="O101" s="57">
        <v>0.00963386727688787</v>
      </c>
      <c r="P101" s="57">
        <v>0.178344886122507</v>
      </c>
      <c r="Q101" s="57">
        <v>0.0169998887282704</v>
      </c>
      <c r="R101" s="56">
        <v>0.887039480361311</v>
      </c>
      <c r="S101" s="56">
        <v>1.39552631578947</v>
      </c>
    </row>
    <row r="102" spans="1:19" s="11" customFormat="1" ht="12.75">
      <c r="A102" s="50" t="s">
        <v>94</v>
      </c>
      <c r="B102" s="51">
        <v>6870</v>
      </c>
      <c r="C102" s="52">
        <v>1.18841305826344</v>
      </c>
      <c r="D102" s="52">
        <v>0.931280704185445</v>
      </c>
      <c r="E102" s="57">
        <v>0.56567703100249</v>
      </c>
      <c r="F102" s="53">
        <v>0.488065043253899</v>
      </c>
      <c r="G102" s="53">
        <v>0.327986364216088</v>
      </c>
      <c r="H102" s="53">
        <v>0.206446142350028</v>
      </c>
      <c r="I102" s="53">
        <v>0.177274773206899</v>
      </c>
      <c r="J102" s="53">
        <v>0.166728956334594</v>
      </c>
      <c r="K102" s="53">
        <v>0.20774423713036</v>
      </c>
      <c r="L102" s="53">
        <v>0.146083582127008</v>
      </c>
      <c r="M102" s="53">
        <v>0.0343821996614249</v>
      </c>
      <c r="N102" s="57">
        <v>1.58900314384287</v>
      </c>
      <c r="O102" s="57">
        <v>0.0907446552043666</v>
      </c>
      <c r="P102" s="53">
        <v>0.162247205511508</v>
      </c>
      <c r="Q102" s="53">
        <v>-0.309008151053168</v>
      </c>
      <c r="R102" s="56">
        <v>1.21351606132421</v>
      </c>
      <c r="S102" s="52">
        <v>1.27562227258131</v>
      </c>
    </row>
    <row r="103" spans="2:6" s="11" customFormat="1" ht="12.75">
      <c r="B103" s="13"/>
      <c r="C103" s="13"/>
      <c r="D103" s="13"/>
      <c r="E103" s="13"/>
      <c r="F103" s="13"/>
    </row>
    <row r="104" spans="2:6" s="11" customFormat="1" ht="12.75">
      <c r="B104" s="13"/>
      <c r="C104" s="13"/>
      <c r="D104" s="13"/>
      <c r="E104" s="13"/>
      <c r="F104" s="13"/>
    </row>
    <row r="105" spans="2:6" s="11" customFormat="1" ht="12.75">
      <c r="B105" s="13"/>
      <c r="C105" s="13"/>
      <c r="D105" s="13"/>
      <c r="E105" s="13"/>
      <c r="F105" s="13"/>
    </row>
    <row r="106" spans="2:6" s="11" customFormat="1" ht="12.75">
      <c r="B106" s="13"/>
      <c r="C106" s="13"/>
      <c r="D106" s="13"/>
      <c r="E106" s="13"/>
      <c r="F106" s="13"/>
    </row>
    <row r="107" spans="2:6" s="11" customFormat="1" ht="12.75">
      <c r="B107" s="13"/>
      <c r="C107" s="13"/>
      <c r="D107" s="13"/>
      <c r="E107" s="13"/>
      <c r="F107" s="13"/>
    </row>
    <row r="108" spans="2:6" s="11" customFormat="1" ht="12.75">
      <c r="B108" s="13"/>
      <c r="C108" s="13"/>
      <c r="D108" s="13"/>
      <c r="E108" s="13"/>
      <c r="F108" s="13"/>
    </row>
    <row r="109" spans="2:6" s="11" customFormat="1" ht="12.75">
      <c r="B109" s="13"/>
      <c r="C109" s="13"/>
      <c r="D109" s="13"/>
      <c r="E109" s="13"/>
      <c r="F109" s="13"/>
    </row>
    <row r="110" spans="2:6" s="11" customFormat="1" ht="12.75">
      <c r="B110" s="13"/>
      <c r="C110" s="13"/>
      <c r="D110" s="13"/>
      <c r="E110" s="13"/>
      <c r="F110" s="13"/>
    </row>
    <row r="111" spans="2:6" s="11" customFormat="1" ht="12.75">
      <c r="B111" s="13"/>
      <c r="C111" s="13"/>
      <c r="D111" s="13"/>
      <c r="E111" s="13"/>
      <c r="F111" s="13"/>
    </row>
    <row r="112" spans="2:6" s="11" customFormat="1" ht="12.75">
      <c r="B112" s="13"/>
      <c r="C112" s="13"/>
      <c r="D112" s="13"/>
      <c r="E112" s="13"/>
      <c r="F112" s="13"/>
    </row>
    <row r="113" spans="2:6" s="11" customFormat="1" ht="12.75">
      <c r="B113" s="13"/>
      <c r="C113" s="13"/>
      <c r="D113" s="13"/>
      <c r="E113" s="13"/>
      <c r="F113" s="13"/>
    </row>
    <row r="114" spans="2:6" s="11" customFormat="1" ht="12.75">
      <c r="B114" s="13"/>
      <c r="C114" s="13"/>
      <c r="D114" s="13"/>
      <c r="E114" s="13"/>
      <c r="F114" s="13"/>
    </row>
    <row r="115" spans="2:6" s="11" customFormat="1" ht="12.75">
      <c r="B115" s="13"/>
      <c r="C115" s="13"/>
      <c r="D115" s="13"/>
      <c r="E115" s="13"/>
      <c r="F115" s="13"/>
    </row>
    <row r="116" spans="2:6" s="11" customFormat="1" ht="12.75">
      <c r="B116" s="13"/>
      <c r="C116" s="13"/>
      <c r="D116" s="13"/>
      <c r="E116" s="13"/>
      <c r="F116" s="13"/>
    </row>
    <row r="117" spans="2:6" s="11" customFormat="1" ht="12.75">
      <c r="B117" s="13"/>
      <c r="C117" s="13"/>
      <c r="D117" s="13"/>
      <c r="E117" s="13"/>
      <c r="F117" s="13"/>
    </row>
    <row r="118" spans="2:6" s="11" customFormat="1" ht="12.75">
      <c r="B118" s="13"/>
      <c r="C118" s="13"/>
      <c r="D118" s="13"/>
      <c r="E118" s="13"/>
      <c r="F118" s="13"/>
    </row>
    <row r="119" spans="2:6" s="11" customFormat="1" ht="12.75">
      <c r="B119" s="13"/>
      <c r="C119" s="13"/>
      <c r="D119" s="13"/>
      <c r="E119" s="13"/>
      <c r="F119" s="13"/>
    </row>
    <row r="120" spans="2:6" s="11" customFormat="1" ht="12.75">
      <c r="B120" s="13"/>
      <c r="C120" s="13"/>
      <c r="D120" s="13"/>
      <c r="E120" s="13"/>
      <c r="F120" s="13"/>
    </row>
    <row r="121" spans="2:6" s="11" customFormat="1" ht="12.75">
      <c r="B121" s="13"/>
      <c r="C121" s="13"/>
      <c r="D121" s="13"/>
      <c r="E121" s="13"/>
      <c r="F121" s="13"/>
    </row>
    <row r="122" spans="2:6" s="11" customFormat="1" ht="12.75">
      <c r="B122" s="13"/>
      <c r="C122" s="13"/>
      <c r="D122" s="13"/>
      <c r="E122" s="13"/>
      <c r="F122" s="13"/>
    </row>
    <row r="123" spans="2:6" s="11" customFormat="1" ht="12.75">
      <c r="B123" s="13"/>
      <c r="C123" s="13"/>
      <c r="D123" s="13"/>
      <c r="E123" s="13"/>
      <c r="F123" s="13"/>
    </row>
    <row r="124" spans="2:6" s="11" customFormat="1" ht="12.75">
      <c r="B124" s="13"/>
      <c r="C124" s="13"/>
      <c r="D124" s="13"/>
      <c r="E124" s="13"/>
      <c r="F124" s="13"/>
    </row>
    <row r="125" spans="2:6" s="11" customFormat="1" ht="12.75">
      <c r="B125" s="13"/>
      <c r="C125" s="13"/>
      <c r="D125" s="13"/>
      <c r="E125" s="13"/>
      <c r="F125" s="13"/>
    </row>
    <row r="126" spans="2:6" s="11" customFormat="1" ht="12.75">
      <c r="B126" s="13"/>
      <c r="C126" s="13"/>
      <c r="D126" s="13"/>
      <c r="E126" s="13"/>
      <c r="F126" s="13"/>
    </row>
    <row r="127" spans="2:6" s="11" customFormat="1" ht="12.75">
      <c r="B127" s="13"/>
      <c r="C127" s="13"/>
      <c r="D127" s="13"/>
      <c r="E127" s="13"/>
      <c r="F127" s="13"/>
    </row>
    <row r="128" spans="2:6" s="11" customFormat="1" ht="12.75">
      <c r="B128" s="13"/>
      <c r="C128" s="13"/>
      <c r="D128" s="13"/>
      <c r="E128" s="13"/>
      <c r="F128" s="13"/>
    </row>
    <row r="129" spans="2:6" s="11" customFormat="1" ht="12.75">
      <c r="B129" s="13"/>
      <c r="C129" s="13"/>
      <c r="D129" s="13"/>
      <c r="E129" s="13"/>
      <c r="F129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Mowbray</dc:creator>
  <cp:keywords/>
  <dc:description/>
  <cp:lastModifiedBy>User</cp:lastModifiedBy>
  <dcterms:created xsi:type="dcterms:W3CDTF">2000-04-06T19:14:27Z</dcterms:created>
  <dcterms:modified xsi:type="dcterms:W3CDTF">2013-02-25T18:42:01Z</dcterms:modified>
  <cp:category/>
  <cp:version/>
  <cp:contentType/>
  <cp:contentStatus/>
</cp:coreProperties>
</file>