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6845" windowHeight="12225" activeTab="0"/>
  </bookViews>
  <sheets>
    <sheet name="TB Per. &amp; YTD Comp.  3-2000" sheetId="1" r:id="rId1"/>
    <sheet name="BS  3-2000" sheetId="2" r:id="rId2"/>
    <sheet name="BS &amp; PY Comp.  3-2000" sheetId="3" r:id="rId3"/>
    <sheet name="CF Per. &amp; YTD Comp. 3-2000" sheetId="4" r:id="rId4"/>
    <sheet name="CF Rolling 12 Per. 3-2000" sheetId="5" r:id="rId5"/>
    <sheet name="IS Per. &amp; YTD Comp 3-2000" sheetId="6" r:id="rId6"/>
    <sheet name="IS Rolling 12 Per 3-2000" sheetId="7" r:id="rId7"/>
    <sheet name="IS Rolling 4 Qtr Q4-FY 2000" sheetId="8" r:id="rId8"/>
    <sheet name="IS Year by Per FY2000" sheetId="9" r:id="rId9"/>
    <sheet name="IS Year by Qtr FY2000" sheetId="10" r:id="rId10"/>
    <sheet name="Ratio Rolling 12 Per  3-2000" sheetId="11" r:id="rId11"/>
    <sheet name="COSComp Chart 3-2000" sheetId="12" r:id="rId12"/>
    <sheet name="RevExp Chart 3-2000" sheetId="13" r:id="rId13"/>
  </sheets>
  <definedNames>
    <definedName name="__DemandLoad">TRUE</definedName>
    <definedName name="ABD">'Ratio Rolling 12 Per  3-2000'!$D$5:$O$5</definedName>
    <definedName name="Account.Part" localSheetId="11">'COSComp Chart 3-2000'!#REF!</definedName>
    <definedName name="AD">'Ratio Rolling 12 Per  3-2000'!$D$6:$O$6</definedName>
    <definedName name="ADE">'Ratio Rolling 12 Per  3-2000'!$D$7:$O$7</definedName>
    <definedName name="Amounts" localSheetId="11">'COSComp Chart 3-2000'!$B$9:$B$16</definedName>
    <definedName name="AP" localSheetId="10">'Ratio Rolling 12 Per  3-2000'!$D$8:$O$8</definedName>
    <definedName name="AR">'Ratio Rolling 12 Per  3-2000'!$D$9:$O$9</definedName>
    <definedName name="ARN" localSheetId="10">'Ratio Rolling 12 Per  3-2000'!$D$39:$O$39</definedName>
    <definedName name="Assets_Title" localSheetId="1">'BS  3-2000'!$7:$7</definedName>
    <definedName name="Assets_Title" localSheetId="2">'BS &amp; PY Comp.  3-2000'!$7:$7</definedName>
    <definedName name="Assets_Total" localSheetId="1">'BS  3-2000'!$21:$21</definedName>
    <definedName name="Assets_Total" localSheetId="2">'BS &amp; PY Comp.  3-2000'!$21:$21</definedName>
    <definedName name="Assistant.Last.Dialog" localSheetId="12">'RevExp Chart 3-2000'!#REF!</definedName>
    <definedName name="bCOS" localSheetId="12">'RevExp Chart 3-2000'!#REF!</definedName>
    <definedName name="BDE">'Ratio Rolling 12 Per  3-2000'!$D$10:$O$10</definedName>
    <definedName name="bGM" localSheetId="12">'RevExp Chart 3-2000'!#REF!</definedName>
    <definedName name="bNetIncome" localSheetId="12">'RevExp Chart 3-2000'!#REF!</definedName>
    <definedName name="bOperExp" localSheetId="12">'RevExp Chart 3-2000'!#REF!</definedName>
    <definedName name="bRevenue" localSheetId="12">'RevExp Chart 3-2000'!#REF!</definedName>
    <definedName name="Budget.Actual" localSheetId="1">'BS  3-2000'!#REF!</definedName>
    <definedName name="Budget.Actual" localSheetId="2">'BS &amp; PY Comp.  3-2000'!#REF!</definedName>
    <definedName name="Budget.Actual" localSheetId="3">'CF Per. &amp; YTD Comp. 3-2000'!#REF!</definedName>
    <definedName name="Budget.Actual" localSheetId="4">'CF Rolling 12 Per. 3-2000'!#REF!</definedName>
    <definedName name="Budget.Actual" localSheetId="11">'COSComp Chart 3-2000'!#REF!</definedName>
    <definedName name="Budget.Actual" localSheetId="5">'IS Per. &amp; YTD Comp 3-2000'!#REF!</definedName>
    <definedName name="Budget.Actual" localSheetId="6">'IS Rolling 12 Per 3-2000'!#REF!</definedName>
    <definedName name="Budget.Actual" localSheetId="7">'IS Rolling 4 Qtr Q4-FY 2000'!#REF!</definedName>
    <definedName name="Budget.Actual" localSheetId="8">'IS Year by Per FY2000'!#REF!</definedName>
    <definedName name="Budget.Actual" localSheetId="9">'IS Year by Qtr FY2000'!#REF!</definedName>
    <definedName name="Budget.Actual" localSheetId="12">'RevExp Chart 3-2000'!#REF!</definedName>
    <definedName name="Budget.Actual" localSheetId="0">'TB Per. &amp; YTD Comp.  3-2000'!#REF!</definedName>
    <definedName name="CA" localSheetId="10">'Ratio Rolling 12 Per  3-2000'!$D$36:$O$36</definedName>
    <definedName name="CA_Title" localSheetId="1">'BS  3-2000'!$8:$8</definedName>
    <definedName name="CA_Title" localSheetId="2">'BS &amp; PY Comp.  3-2000'!$8:$8</definedName>
    <definedName name="CA_Title" localSheetId="0">'TB Per. &amp; YTD Comp.  3-2000'!$B$11</definedName>
    <definedName name="CA_Total" localSheetId="1">'BS  3-2000'!$15:$15</definedName>
    <definedName name="CA_Total" localSheetId="2">'BS &amp; PY Comp.  3-2000'!$15:$15</definedName>
    <definedName name="CA_Total" localSheetId="0">'TB Per. &amp; YTD Comp.  3-2000'!$B$18</definedName>
    <definedName name="Cash_Flow_Total" localSheetId="3">'CF Per. &amp; YTD Comp. 3-2000'!$32:$32</definedName>
    <definedName name="Cash_Flow_Total" localSheetId="4">'CF Rolling 12 Per. 3-2000'!$33:$33</definedName>
    <definedName name="CCE">'Ratio Rolling 12 Per  3-2000'!$D$11:$O$11</definedName>
    <definedName name="CL" localSheetId="10">'Ratio Rolling 12 Per  3-2000'!$D$37:$O$37</definedName>
    <definedName name="CL_Title" localSheetId="1">'BS  3-2000'!$23:$23</definedName>
    <definedName name="CL_Title" localSheetId="2">'BS &amp; PY Comp.  3-2000'!$23:$23</definedName>
    <definedName name="CL_Title" localSheetId="0">'TB Per. &amp; YTD Comp.  3-2000'!$B$26</definedName>
    <definedName name="CL_Total" localSheetId="1">'BS  3-2000'!$27:$27</definedName>
    <definedName name="CL_Total" localSheetId="2">'BS &amp; PY Comp.  3-2000'!$27:$27</definedName>
    <definedName name="CL_Total" localSheetId="0">'TB Per. &amp; YTD Comp.  3-2000'!$B$30</definedName>
    <definedName name="COS" localSheetId="12">'RevExp Chart 3-2000'!$B$8:$N$8</definedName>
    <definedName name="COS">'Ratio Rolling 12 Per  3-2000'!$D$12:$O$12</definedName>
    <definedName name="COS_Detail" localSheetId="5">'IS Per. &amp; YTD Comp 3-2000'!$17:$20</definedName>
    <definedName name="COS_Detail" localSheetId="6">'IS Rolling 12 Per 3-2000'!$17:$20</definedName>
    <definedName name="COS_Detail" localSheetId="7">'IS Rolling 4 Qtr Q4-FY 2000'!$17:$20</definedName>
    <definedName name="COS_Detail" localSheetId="8">'IS Year by Per FY2000'!$17:$20</definedName>
    <definedName name="COS_Detail" localSheetId="9">'IS Year by Qtr FY2000'!$17:$20</definedName>
    <definedName name="COS_Title" localSheetId="5">'IS Per. &amp; YTD Comp 3-2000'!$16:$16</definedName>
    <definedName name="COS_Title" localSheetId="6">'IS Rolling 12 Per 3-2000'!$16:$16</definedName>
    <definedName name="COS_Title" localSheetId="7">'IS Rolling 4 Qtr Q4-FY 2000'!$16:$16</definedName>
    <definedName name="COS_Title" localSheetId="8">'IS Year by Per FY2000'!$16:$16</definedName>
    <definedName name="COS_Title" localSheetId="9">'IS Year by Qtr FY2000'!$16:$16</definedName>
    <definedName name="COS_Total" localSheetId="5">'IS Per. &amp; YTD Comp 3-2000'!$21:$21</definedName>
    <definedName name="COS_Total" localSheetId="6">'IS Rolling 12 Per 3-2000'!$21:$21</definedName>
    <definedName name="COS_Total" localSheetId="7">'IS Rolling 4 Qtr Q4-FY 2000'!$21:$21</definedName>
    <definedName name="COS_Total" localSheetId="8">'IS Year by Per FY2000'!$21:$21</definedName>
    <definedName name="COS_Total" localSheetId="9">'IS Year by Qtr FY2000'!$21:$21</definedName>
    <definedName name="CustomUpdateValues" localSheetId="1">'BS  3-2000'!#REF!</definedName>
    <definedName name="CustomUpdateValues" localSheetId="2">'BS &amp; PY Comp.  3-2000'!#REF!</definedName>
    <definedName name="CustomUpdateValues" localSheetId="3">'CF Per. &amp; YTD Comp. 3-2000'!#REF!</definedName>
    <definedName name="CustomUpdateValues" localSheetId="4">'CF Rolling 12 Per. 3-2000'!#REF!</definedName>
    <definedName name="CustomUpdateValues" localSheetId="11">'COSComp Chart 3-2000'!#REF!</definedName>
    <definedName name="CustomUpdateValues" localSheetId="5">'IS Per. &amp; YTD Comp 3-2000'!#REF!</definedName>
    <definedName name="CustomUpdateValues" localSheetId="6">'IS Rolling 12 Per 3-2000'!#REF!</definedName>
    <definedName name="CustomUpdateValues" localSheetId="7">'IS Rolling 4 Qtr Q4-FY 2000'!#REF!</definedName>
    <definedName name="CustomUpdateValues" localSheetId="8">'IS Year by Per FY2000'!#REF!</definedName>
    <definedName name="CustomUpdateValues" localSheetId="9">'IS Year by Qtr FY2000'!#REF!</definedName>
    <definedName name="CustomUpdateValues" localSheetId="10">'Ratio Rolling 12 Per  3-2000'!#REF!</definedName>
    <definedName name="CustomUpdateValues" localSheetId="12">'RevExp Chart 3-2000'!#REF!</definedName>
    <definedName name="CustomUpdateValues" localSheetId="0">'TB Per. &amp; YTD Comp.  3-2000'!#REF!</definedName>
    <definedName name="Data.Dump" localSheetId="1" hidden="1">OFFSET([0]!Data.Top.Left,1,0)</definedName>
    <definedName name="Data.Dump" localSheetId="2" hidden="1">OFFSET([0]!Data.Top.Left,1,0)</definedName>
    <definedName name="data.dump" localSheetId="3">'CF Per. &amp; YTD Comp. 3-2000'!#REF!</definedName>
    <definedName name="data.dump" localSheetId="4">'CF Rolling 12 Per. 3-2000'!#REF!</definedName>
    <definedName name="Data.Dump" localSheetId="11">'COSComp Chart 3-2000'!$A$9</definedName>
    <definedName name="data.dump" localSheetId="5">'IS Per. &amp; YTD Comp 3-2000'!#REF!</definedName>
    <definedName name="data.dump" localSheetId="6">'IS Rolling 12 Per 3-2000'!#REF!</definedName>
    <definedName name="data.dump" localSheetId="7">'IS Rolling 4 Qtr Q4-FY 2000'!#REF!</definedName>
    <definedName name="data.dump" localSheetId="8">'IS Year by Per FY2000'!#REF!</definedName>
    <definedName name="data.dump" localSheetId="9">'IS Year by Qtr FY2000'!#REF!</definedName>
    <definedName name="Data.Dump" localSheetId="10">OFFSET([0]!Data.Top.Left,1,0)</definedName>
    <definedName name="Data.Dump" localSheetId="12">'RevExp Chart 3-2000'!#REF!</definedName>
    <definedName name="Data.Dump" hidden="1">OFFSET([0]!Data.Top.Left,1,0)</definedName>
    <definedName name="Data.Store" localSheetId="10">'Ratio Rolling 12 Per  3-2000'!$C$4</definedName>
    <definedName name="DataFormat" localSheetId="11">'COSComp Chart 3-2000'!#REF!</definedName>
    <definedName name="DataFormat" localSheetId="12">'RevExp Chart 3-2000'!#REF!</definedName>
    <definedName name="DateRow" localSheetId="10">'Ratio Rolling 12 Per  3-2000'!$57:$57</definedName>
    <definedName name="DD.Active" localSheetId="1">'BS  3-2000'!#REF!</definedName>
    <definedName name="DD.Active" localSheetId="2">'BS &amp; PY Comp.  3-2000'!#REF!</definedName>
    <definedName name="DD.Active" localSheetId="10">'Ratio Rolling 12 Per  3-2000'!#REF!</definedName>
    <definedName name="DD.Active" localSheetId="0">'TB Per. &amp; YTD Comp.  3-2000'!#REF!</definedName>
    <definedName name="DD.Display.Range" localSheetId="1">'BS  3-2000'!#REF!</definedName>
    <definedName name="DD.Display.Range" localSheetId="2">'BS &amp; PY Comp.  3-2000'!#REF!</definedName>
    <definedName name="DD.Display.Range" localSheetId="3">'CF Per. &amp; YTD Comp. 3-2000'!#REF!</definedName>
    <definedName name="DD.Display.Range" localSheetId="4">'CF Rolling 12 Per. 3-2000'!#REF!</definedName>
    <definedName name="DD.Display.Range" localSheetId="5">'IS Per. &amp; YTD Comp 3-2000'!#REF!</definedName>
    <definedName name="DD.Display.Range" localSheetId="6">'IS Rolling 12 Per 3-2000'!#REF!</definedName>
    <definedName name="DD.Display.Range" localSheetId="7">'IS Rolling 4 Qtr Q4-FY 2000'!#REF!</definedName>
    <definedName name="DD.Display.Range" localSheetId="8">'IS Year by Per FY2000'!#REF!</definedName>
    <definedName name="DD.Display.Range" localSheetId="9">'IS Year by Qtr FY2000'!#REF!</definedName>
    <definedName name="DD.Display.Range" localSheetId="10">'Ratio Rolling 12 Per  3-2000'!#REF!</definedName>
    <definedName name="DD.Display.Range" localSheetId="0">'TB Per. &amp; YTD Comp.  3-2000'!#REF!</definedName>
    <definedName name="DD.End.PI" localSheetId="1">'BS  3-2000'!#REF!</definedName>
    <definedName name="DD.End.PI" localSheetId="2">'BS &amp; PY Comp.  3-2000'!#REF!</definedName>
    <definedName name="DD.End.PI" localSheetId="3">'CF Per. &amp; YTD Comp. 3-2000'!#REF!</definedName>
    <definedName name="DD.End.PI" localSheetId="4">'CF Rolling 12 Per. 3-2000'!#REF!</definedName>
    <definedName name="DD.End.PI" localSheetId="11">'COSComp Chart 3-2000'!#REF!</definedName>
    <definedName name="DD.End.PI" localSheetId="5">'IS Per. &amp; YTD Comp 3-2000'!#REF!</definedName>
    <definedName name="DD.End.PI" localSheetId="6">'IS Rolling 12 Per 3-2000'!#REF!</definedName>
    <definedName name="DD.End.PI" localSheetId="7">'IS Rolling 4 Qtr Q4-FY 2000'!#REF!</definedName>
    <definedName name="DD.End.PI" localSheetId="8">'IS Year by Per FY2000'!#REF!</definedName>
    <definedName name="DD.End.PI" localSheetId="9">'IS Year by Qtr FY2000'!#REF!</definedName>
    <definedName name="DD.End.PI" localSheetId="10">'Ratio Rolling 12 Per  3-2000'!#REF!</definedName>
    <definedName name="DD.End.PI" localSheetId="12">'RevExp Chart 3-2000'!#REF!</definedName>
    <definedName name="DD.End.PI" localSheetId="0">'TB Per. &amp; YTD Comp.  3-2000'!#REF!</definedName>
    <definedName name="DD.First.PI" localSheetId="11">'COSComp Chart 3-2000'!#REF!</definedName>
    <definedName name="DD.First.PI" localSheetId="12">'RevExp Chart 3-2000'!#REF!</definedName>
    <definedName name="DD.Fiscal.Year" localSheetId="1">'BS  3-2000'!#REF!</definedName>
    <definedName name="DD.Fiscal.Year" localSheetId="2">'BS &amp; PY Comp.  3-2000'!#REF!</definedName>
    <definedName name="DD.Fiscal.Year" localSheetId="3">'CF Per. &amp; YTD Comp. 3-2000'!#REF!</definedName>
    <definedName name="DD.Fiscal.Year" localSheetId="4">'CF Rolling 12 Per. 3-2000'!#REF!</definedName>
    <definedName name="DD.Fiscal.Year" localSheetId="5">'IS Per. &amp; YTD Comp 3-2000'!#REF!</definedName>
    <definedName name="DD.Fiscal.Year" localSheetId="6">'IS Rolling 12 Per 3-2000'!#REF!</definedName>
    <definedName name="DD.Fiscal.Year" localSheetId="7">'IS Rolling 4 Qtr Q4-FY 2000'!#REF!</definedName>
    <definedName name="DD.Fiscal.Year" localSheetId="8">'IS Year by Per FY2000'!#REF!</definedName>
    <definedName name="DD.Fiscal.Year" localSheetId="9">'IS Year by Qtr FY2000'!#REF!</definedName>
    <definedName name="DD.Fiscal.Year" localSheetId="10">'Ratio Rolling 12 Per  3-2000'!#REF!</definedName>
    <definedName name="DD.Fiscal.Year" localSheetId="0">'TB Per. &amp; YTD Comp.  3-2000'!#REF!</definedName>
    <definedName name="DD.Period.End" localSheetId="1">'BS  3-2000'!#REF!</definedName>
    <definedName name="DD.Period.End" localSheetId="2">'BS &amp; PY Comp.  3-2000'!#REF!</definedName>
    <definedName name="DD.Period.End" localSheetId="3">'CF Per. &amp; YTD Comp. 3-2000'!#REF!</definedName>
    <definedName name="DD.Period.End" localSheetId="4">'CF Rolling 12 Per. 3-2000'!#REF!</definedName>
    <definedName name="DD.Period.End" localSheetId="5">'IS Per. &amp; YTD Comp 3-2000'!#REF!</definedName>
    <definedName name="DD.Period.End" localSheetId="6">'IS Rolling 12 Per 3-2000'!#REF!</definedName>
    <definedName name="DD.Period.End" localSheetId="7">'IS Rolling 4 Qtr Q4-FY 2000'!#REF!</definedName>
    <definedName name="DD.Period.End" localSheetId="8">'IS Year by Per FY2000'!#REF!</definedName>
    <definedName name="DD.Period.End" localSheetId="9">'IS Year by Qtr FY2000'!#REF!</definedName>
    <definedName name="DD.Period.End" localSheetId="10">'Ratio Rolling 12 Per  3-2000'!#REF!</definedName>
    <definedName name="DD.Period.End" localSheetId="0">'TB Per. &amp; YTD Comp.  3-2000'!#REF!</definedName>
    <definedName name="DD.Update" localSheetId="1">'BS  3-2000'!#REF!</definedName>
    <definedName name="DD.Update" localSheetId="2">'BS &amp; PY Comp.  3-2000'!#REF!</definedName>
    <definedName name="DD.Update" localSheetId="3">'CF Per. &amp; YTD Comp. 3-2000'!#REF!</definedName>
    <definedName name="DD.Update" localSheetId="4">'CF Rolling 12 Per. 3-2000'!#REF!</definedName>
    <definedName name="DD.Update" localSheetId="11">'COSComp Chart 3-2000'!#REF!</definedName>
    <definedName name="DD.Update" localSheetId="5">'IS Per. &amp; YTD Comp 3-2000'!#REF!</definedName>
    <definedName name="DD.Update" localSheetId="6">'IS Rolling 12 Per 3-2000'!#REF!</definedName>
    <definedName name="DD.Update" localSheetId="7">'IS Rolling 4 Qtr Q4-FY 2000'!#REF!</definedName>
    <definedName name="DD.Update" localSheetId="8">'IS Year by Per FY2000'!#REF!</definedName>
    <definedName name="DD.Update" localSheetId="9">'IS Year by Qtr FY2000'!#REF!</definedName>
    <definedName name="DD.Update" localSheetId="10">'Ratio Rolling 12 Per  3-2000'!#REF!</definedName>
    <definedName name="DD.Update" localSheetId="12">'RevExp Chart 3-2000'!#REF!</definedName>
    <definedName name="DD.Update" localSheetId="0">'TB Per. &amp; YTD Comp.  3-2000'!#REF!</definedName>
    <definedName name="DE_Title" localSheetId="0">'TB Per. &amp; YTD Comp.  3-2000'!$B$46</definedName>
    <definedName name="DE_Total" localSheetId="0">'TB Per. &amp; YTD Comp.  3-2000'!$B$51</definedName>
    <definedName name="Description" localSheetId="11">'COSComp Chart 3-2000'!$A$9:$A$16</definedName>
    <definedName name="DP">'Ratio Rolling 12 Per  3-2000'!$D$33:$O$33</definedName>
    <definedName name="DR.CR" localSheetId="1">'BS  3-2000'!#REF!</definedName>
    <definedName name="DR.CR" localSheetId="2">'BS &amp; PY Comp.  3-2000'!#REF!</definedName>
    <definedName name="DR.CR" localSheetId="0">'TB Per. &amp; YTD Comp.  3-2000'!#REF!</definedName>
    <definedName name="Drill.Down" localSheetId="1">'BS  3-2000'!#REF!</definedName>
    <definedName name="Drill.Down" localSheetId="2">'BS &amp; PY Comp.  3-2000'!#REF!</definedName>
    <definedName name="Drill.Down" localSheetId="3">'CF Per. &amp; YTD Comp. 3-2000'!#REF!</definedName>
    <definedName name="Drill.Down" localSheetId="4">'CF Rolling 12 Per. 3-2000'!#REF!</definedName>
    <definedName name="Drill.Down" localSheetId="5">'IS Per. &amp; YTD Comp 3-2000'!#REF!</definedName>
    <definedName name="Drill.Down" localSheetId="6">'IS Rolling 12 Per 3-2000'!#REF!</definedName>
    <definedName name="Drill.Down" localSheetId="7">'IS Rolling 4 Qtr Q4-FY 2000'!#REF!</definedName>
    <definedName name="Drill.Down" localSheetId="8">'IS Year by Per FY2000'!#REF!</definedName>
    <definedName name="Drill.Down" localSheetId="9">'IS Year by Qtr FY2000'!#REF!</definedName>
    <definedName name="Drill.Down" localSheetId="0">'TB Per. &amp; YTD Comp.  3-2000'!#REF!</definedName>
    <definedName name="DY">'Ratio Rolling 12 Per  3-2000'!$D$34:$O$34</definedName>
    <definedName name="ED" localSheetId="10">'Ratio Rolling 12 Per  3-2000'!$D$35:$O$35</definedName>
    <definedName name="EQ" localSheetId="10">'Ratio Rolling 12 Per  3-2000'!$D$13:$O$13</definedName>
    <definedName name="FA" localSheetId="10">'Ratio Rolling 12 Per  3-2000'!$D$46:$O$46</definedName>
    <definedName name="FINAN_Detail" localSheetId="3">'CF Per. &amp; YTD Comp. 3-2000'!$27:$29</definedName>
    <definedName name="FINAN_Detail" localSheetId="4">'CF Rolling 12 Per. 3-2000'!$28:$30</definedName>
    <definedName name="FINAN_Title" localSheetId="3">'CF Per. &amp; YTD Comp. 3-2000'!$26:$26</definedName>
    <definedName name="FINAN_Title" localSheetId="4">'CF Rolling 12 Per. 3-2000'!$27:$27</definedName>
    <definedName name="FINAN_Total" localSheetId="3">'CF Per. &amp; YTD Comp. 3-2000'!$30:$30</definedName>
    <definedName name="FINAN_Total" localSheetId="4">'CF Rolling 12 Per. 3-2000'!$31:$31</definedName>
    <definedName name="Formulas" localSheetId="10">'Ratio Rolling 12 Per  3-2000'!#REF!</definedName>
    <definedName name="Formulas.Rows" localSheetId="10">'Ratio Rolling 12 Per  3-2000'!$36:$50</definedName>
    <definedName name="FormulasLeftOfTopLeft" localSheetId="10">'Ratio Rolling 12 Per  3-2000'!$C$36</definedName>
    <definedName name="FSIC" localSheetId="10">'Ratio Rolling 12 Per  3-2000'!$D$4:$O$4</definedName>
    <definedName name="FY" localSheetId="10">'Ratio Rolling 12 Per  3-2000'!$D$30:$O$30</definedName>
    <definedName name="GL.Account.Number" localSheetId="1">'BS  3-2000'!$A:$A</definedName>
    <definedName name="GL.Account.Number" localSheetId="2">'BS &amp; PY Comp.  3-2000'!$A:$A</definedName>
    <definedName name="GL.Account.Number" localSheetId="5">'IS Per. &amp; YTD Comp 3-2000'!$A:$A</definedName>
    <definedName name="GL.Account.Number" localSheetId="6">'IS Rolling 12 Per 3-2000'!$A:$A</definedName>
    <definedName name="GL.Account.Number" localSheetId="7">'IS Rolling 4 Qtr Q4-FY 2000'!$A:$A</definedName>
    <definedName name="GL.Account.Number" localSheetId="8">'IS Year by Per FY2000'!$A:$A</definedName>
    <definedName name="GL.Account.Number" localSheetId="9">'IS Year by Qtr FY2000'!$A:$A</definedName>
    <definedName name="GL.Account.Number" localSheetId="10">'Ratio Rolling 12 Per  3-2000'!$C:$C</definedName>
    <definedName name="GL.Account.Number" localSheetId="0">'TB Per. &amp; YTD Comp.  3-2000'!$A:$A</definedName>
    <definedName name="GL.Description" localSheetId="1">'BS  3-2000'!$B:$B</definedName>
    <definedName name="GL.Description" localSheetId="2">'BS &amp; PY Comp.  3-2000'!$B:$B</definedName>
    <definedName name="GL.Description" localSheetId="5">'IS Per. &amp; YTD Comp 3-2000'!$B:$B</definedName>
    <definedName name="GL.Description" localSheetId="6">'IS Rolling 12 Per 3-2000'!$B:$B</definedName>
    <definedName name="GL.Description" localSheetId="7">'IS Rolling 4 Qtr Q4-FY 2000'!$B:$B</definedName>
    <definedName name="GL.Description" localSheetId="8">'IS Year by Per FY2000'!$B:$B</definedName>
    <definedName name="GL.Description" localSheetId="9">'IS Year by Qtr FY2000'!$B:$B</definedName>
    <definedName name="GL.Description" localSheetId="0">'TB Per. &amp; YTD Comp.  3-2000'!$B:$B</definedName>
    <definedName name="GP" localSheetId="12">'RevExp Chart 3-2000'!$B$10:$N$10</definedName>
    <definedName name="Gross_Profit_Calc" localSheetId="5">'IS Per. &amp; YTD Comp 3-2000'!$23:$23</definedName>
    <definedName name="Gross_Profit_Calc" localSheetId="6">'IS Rolling 12 Per 3-2000'!$23:$23</definedName>
    <definedName name="Gross_Profit_Calc" localSheetId="7">'IS Rolling 4 Qtr Q4-FY 2000'!$23:$23</definedName>
    <definedName name="Gross_Profit_Calc" localSheetId="8">'IS Year by Per FY2000'!$23:$23</definedName>
    <definedName name="Gross_Profit_Calc" localSheetId="9">'IS Year by Qtr FY2000'!$23:$23</definedName>
    <definedName name="IBIT" localSheetId="10">'Ratio Rolling 12 Per  3-2000'!$D$48:$O$48</definedName>
    <definedName name="IBT" localSheetId="10">'Ratio Rolling 12 Per  3-2000'!$D$45:$O$45</definedName>
    <definedName name="IE_Title" localSheetId="0">'TB Per. &amp; YTD Comp.  3-2000'!$B$53</definedName>
    <definedName name="IE_Total" localSheetId="0">'TB Per. &amp; YTD Comp.  3-2000'!$B$65</definedName>
    <definedName name="InitCalcStatus">-4135</definedName>
    <definedName name="Insert.Point" localSheetId="1">'BS  3-2000'!#REF!</definedName>
    <definedName name="Insert.Point" localSheetId="2">'BS &amp; PY Comp.  3-2000'!#REF!</definedName>
    <definedName name="Insert.Point" localSheetId="0">'TB Per. &amp; YTD Comp.  3-2000'!#REF!</definedName>
    <definedName name="INT" localSheetId="10">'Ratio Rolling 12 Per  3-2000'!$D$14:$O$14</definedName>
    <definedName name="INV" localSheetId="10">'Ratio Rolling 12 Per  3-2000'!$D$15:$O$15</definedName>
    <definedName name="INVES_Detail" localSheetId="3">'CF Per. &amp; YTD Comp. 3-2000'!$21:$23</definedName>
    <definedName name="INVES_Detail" localSheetId="4">'CF Rolling 12 Per. 3-2000'!$22:$24</definedName>
    <definedName name="INVES_Title" localSheetId="3">'CF Per. &amp; YTD Comp. 3-2000'!$20:$20</definedName>
    <definedName name="INVES_Title" localSheetId="4">'CF Rolling 12 Per. 3-2000'!$21:$21</definedName>
    <definedName name="INVES_Total" localSheetId="3">'CF Per. &amp; YTD Comp. 3-2000'!$24:$24</definedName>
    <definedName name="INVES_Total" localSheetId="4">'CF Rolling 12 Per. 3-2000'!$25:$25</definedName>
    <definedName name="IT">'Ratio Rolling 12 Per  3-2000'!$D$16:$O$16</definedName>
    <definedName name="IT_Detail" localSheetId="5">'IS Per. &amp; YTD Comp 3-2000'!$49:$49</definedName>
    <definedName name="IT_Detail" localSheetId="6">'IS Rolling 12 Per 3-2000'!$49:$49</definedName>
    <definedName name="IT_Detail" localSheetId="7">'IS Rolling 4 Qtr Q4-FY 2000'!$49:$49</definedName>
    <definedName name="IT_Detail" localSheetId="8">'IS Year by Per FY2000'!$49:$49</definedName>
    <definedName name="IT_Detail" localSheetId="9">'IS Year by Qtr FY2000'!$49:$49</definedName>
    <definedName name="IT_Title" localSheetId="5">'IS Per. &amp; YTD Comp 3-2000'!$48:$48</definedName>
    <definedName name="IT_Title" localSheetId="6">'IS Rolling 12 Per 3-2000'!$48:$48</definedName>
    <definedName name="IT_Title" localSheetId="7">'IS Rolling 4 Qtr Q4-FY 2000'!$48:$48</definedName>
    <definedName name="IT_Title" localSheetId="8">'IS Year by Per FY2000'!$48:$48</definedName>
    <definedName name="IT_Title" localSheetId="9">'IS Year by Qtr FY2000'!$48:$48</definedName>
    <definedName name="IT_Total" localSheetId="5">'IS Per. &amp; YTD Comp 3-2000'!$50:$50</definedName>
    <definedName name="IT_Total" localSheetId="6">'IS Rolling 12 Per 3-2000'!$50:$50</definedName>
    <definedName name="IT_Total" localSheetId="7">'IS Rolling 4 Qtr Q4-FY 2000'!$50:$50</definedName>
    <definedName name="IT_Total" localSheetId="8">'IS Year by Per FY2000'!$50:$50</definedName>
    <definedName name="IT_Total" localSheetId="9">'IS Year by Qtr FY2000'!$50:$50</definedName>
    <definedName name="Liab_and_OE_Title" localSheetId="1">'BS  3-2000'!$22:$22</definedName>
    <definedName name="Liab_and_OE_Title" localSheetId="2">'BS &amp; PY Comp.  3-2000'!$22:$22</definedName>
    <definedName name="Liab_and_OE_Total" localSheetId="1">'BS  3-2000'!$38:$38</definedName>
    <definedName name="Liab_and_OE_Total" localSheetId="2">'BS &amp; PY Comp.  3-2000'!$38:$38</definedName>
    <definedName name="Liabilities_Total" localSheetId="1">'BS  3-2000'!$32:$32</definedName>
    <definedName name="Liabilities_Total" localSheetId="2">'BS &amp; PY Comp.  3-2000'!$32:$32</definedName>
    <definedName name="Lock.Values" localSheetId="1">'BS  3-2000'!#REF!</definedName>
    <definedName name="Lock.Values" localSheetId="2">'BS &amp; PY Comp.  3-2000'!#REF!</definedName>
    <definedName name="Lock.Values" localSheetId="3">'CF Per. &amp; YTD Comp. 3-2000'!#REF!</definedName>
    <definedName name="Lock.Values" localSheetId="4">'CF Rolling 12 Per. 3-2000'!#REF!</definedName>
    <definedName name="Lock.Values" localSheetId="11">'COSComp Chart 3-2000'!#REF!</definedName>
    <definedName name="Lock.Values" localSheetId="5">'IS Per. &amp; YTD Comp 3-2000'!#REF!</definedName>
    <definedName name="Lock.Values" localSheetId="6">'IS Rolling 12 Per 3-2000'!#REF!</definedName>
    <definedName name="Lock.Values" localSheetId="7">'IS Rolling 4 Qtr Q4-FY 2000'!#REF!</definedName>
    <definedName name="Lock.Values" localSheetId="8">'IS Year by Per FY2000'!#REF!</definedName>
    <definedName name="Lock.Values" localSheetId="9">'IS Year by Qtr FY2000'!#REF!</definedName>
    <definedName name="Lock.Values" localSheetId="10">'Ratio Rolling 12 Per  3-2000'!$4:$53</definedName>
    <definedName name="Lock.Values" localSheetId="12">'RevExp Chart 3-2000'!$6:$13</definedName>
    <definedName name="Lock.Values" localSheetId="0">'TB Per. &amp; YTD Comp.  3-2000'!#REF!</definedName>
    <definedName name="LTD" localSheetId="10">'Ratio Rolling 12 Per  3-2000'!$D$17:$O$17</definedName>
    <definedName name="MDB.FirstPeriodIndex" localSheetId="1">'BS  3-2000'!#REF!</definedName>
    <definedName name="MDB.FirstPeriodIndex" localSheetId="2">'BS &amp; PY Comp.  3-2000'!#REF!</definedName>
    <definedName name="MDB.FirstPeriodIndex" localSheetId="3">'CF Per. &amp; YTD Comp. 3-2000'!#REF!</definedName>
    <definedName name="MDB.FirstPeriodIndex" localSheetId="4">'CF Rolling 12 Per. 3-2000'!#REF!</definedName>
    <definedName name="MDB.FirstPeriodIndex" localSheetId="11">'COSComp Chart 3-2000'!#REF!</definedName>
    <definedName name="MDB.FirstPeriodIndex" localSheetId="5">'IS Per. &amp; YTD Comp 3-2000'!#REF!</definedName>
    <definedName name="MDB.FirstPeriodIndex" localSheetId="6">'IS Rolling 12 Per 3-2000'!#REF!</definedName>
    <definedName name="MDB.FirstPeriodIndex" localSheetId="7">'IS Rolling 4 Qtr Q4-FY 2000'!#REF!</definedName>
    <definedName name="MDB.FirstPeriodIndex" localSheetId="8">'IS Year by Per FY2000'!#REF!</definedName>
    <definedName name="MDB.FirstPeriodIndex" localSheetId="9">'IS Year by Qtr FY2000'!#REF!</definedName>
    <definedName name="MDB.FirstPeriodIndex" localSheetId="10">'Ratio Rolling 12 Per  3-2000'!#REF!</definedName>
    <definedName name="MDB.FirstPeriodIndex" localSheetId="12">'RevExp Chart 3-2000'!#REF!</definedName>
    <definedName name="MDB.FirstPeriodIndex" localSheetId="0">'TB Per. &amp; YTD Comp.  3-2000'!#REF!</definedName>
    <definedName name="MDB.Timestamp" localSheetId="1">'BS  3-2000'!#REF!</definedName>
    <definedName name="MDB.Timestamp" localSheetId="2">'BS &amp; PY Comp.  3-2000'!#REF!</definedName>
    <definedName name="MDB.TimeStamp" localSheetId="3">'CF Per. &amp; YTD Comp. 3-2000'!#REF!</definedName>
    <definedName name="MDB.TimeStamp" localSheetId="4">'CF Rolling 12 Per. 3-2000'!#REF!</definedName>
    <definedName name="MDB.TimeStamp" localSheetId="11">'COSComp Chart 3-2000'!#REF!</definedName>
    <definedName name="MDB.TimeStamp" localSheetId="5">'IS Per. &amp; YTD Comp 3-2000'!#REF!</definedName>
    <definedName name="MDB.TimeStamp" localSheetId="6">'IS Rolling 12 Per 3-2000'!#REF!</definedName>
    <definedName name="MDB.TimeStamp" localSheetId="7">'IS Rolling 4 Qtr Q4-FY 2000'!#REF!</definedName>
    <definedName name="MDB.TimeStamp" localSheetId="8">'IS Year by Per FY2000'!#REF!</definedName>
    <definedName name="MDB.TimeStamp" localSheetId="9">'IS Year by Qtr FY2000'!#REF!</definedName>
    <definedName name="MDB.TimeStamp" localSheetId="10">'Ratio Rolling 12 Per  3-2000'!#REF!</definedName>
    <definedName name="MDB.TimeStamp" localSheetId="12">'RevExp Chart 3-2000'!#REF!</definedName>
    <definedName name="MDB.Timestamp" localSheetId="0">'TB Per. &amp; YTD Comp.  3-2000'!#REF!</definedName>
    <definedName name="MDB.Update" localSheetId="1">'BS  3-2000'!#REF!</definedName>
    <definedName name="MDB.Update" localSheetId="2">'BS &amp; PY Comp.  3-2000'!#REF!</definedName>
    <definedName name="MDB.Update" localSheetId="3">'CF Per. &amp; YTD Comp. 3-2000'!#REF!</definedName>
    <definedName name="MDB.Update" localSheetId="4">'CF Rolling 12 Per. 3-2000'!#REF!</definedName>
    <definedName name="MDB.Update" localSheetId="11">'COSComp Chart 3-2000'!#REF!</definedName>
    <definedName name="MDB.Update" localSheetId="5">'IS Per. &amp; YTD Comp 3-2000'!#REF!</definedName>
    <definedName name="MDB.Update" localSheetId="6">'IS Rolling 12 Per 3-2000'!#REF!</definedName>
    <definedName name="MDB.Update" localSheetId="7">'IS Rolling 4 Qtr Q4-FY 2000'!#REF!</definedName>
    <definedName name="MDB.Update" localSheetId="8">'IS Year by Per FY2000'!#REF!</definedName>
    <definedName name="MDB.Update" localSheetId="9">'IS Year by Qtr FY2000'!#REF!</definedName>
    <definedName name="MDB.Update" localSheetId="10">'Ratio Rolling 12 Per  3-2000'!#REF!</definedName>
    <definedName name="MDB.Update" localSheetId="12">'RevExp Chart 3-2000'!#REF!</definedName>
    <definedName name="MDB.Update" localSheetId="0">'TB Per. &amp; YTD Comp.  3-2000'!#REF!</definedName>
    <definedName name="Natural.Sign" localSheetId="10">'Ratio Rolling 12 Per  3-2000'!#REF!</definedName>
    <definedName name="NetIncome_after_Tax" localSheetId="5">'IS Per. &amp; YTD Comp 3-2000'!$52:$52</definedName>
    <definedName name="NetIncome_after_Tax" localSheetId="6">'IS Rolling 12 Per 3-2000'!$52:$52</definedName>
    <definedName name="NetIncome_after_Tax" localSheetId="7">'IS Rolling 4 Qtr Q4-FY 2000'!$52:$52</definedName>
    <definedName name="NetIncome_after_Tax" localSheetId="8">'IS Year by Per FY2000'!$52:$52</definedName>
    <definedName name="NetIncome_after_Tax" localSheetId="9">'IS Year by Qtr FY2000'!$52:$52</definedName>
    <definedName name="NetIncome_before_Tax" localSheetId="5">'IS Per. &amp; YTD Comp 3-2000'!$46:$46</definedName>
    <definedName name="NetIncome_before_Tax" localSheetId="6">'IS Rolling 12 Per 3-2000'!$46:$46</definedName>
    <definedName name="NetIncome_before_Tax" localSheetId="7">'IS Rolling 4 Qtr Q4-FY 2000'!$46:$46</definedName>
    <definedName name="NetIncome_before_Tax" localSheetId="8">'IS Year by Per FY2000'!$46:$46</definedName>
    <definedName name="NetIncome_before_Tax" localSheetId="9">'IS Year by Qtr FY2000'!$46:$46</definedName>
    <definedName name="Next.Up" localSheetId="1">'BS  3-2000'!A65536</definedName>
    <definedName name="Next.Up" localSheetId="2">'BS &amp; PY Comp.  3-2000'!A65536</definedName>
    <definedName name="Next.Up" localSheetId="10">'Ratio Rolling 12 Per  3-2000'!A65536</definedName>
    <definedName name="Next.Up" localSheetId="0">'TB Per. &amp; YTD Comp.  3-2000'!A65536</definedName>
    <definedName name="NI" localSheetId="10">'Ratio Rolling 12 Per  3-2000'!$D$44:$O$44</definedName>
    <definedName name="NI" localSheetId="12">'RevExp Chart 3-2000'!$B$11:$N$11</definedName>
    <definedName name="NS">'Ratio Rolling 12 Per  3-2000'!$D$18:$O$18</definedName>
    <definedName name="NW" localSheetId="10">'Ratio Rolling 12 Per  3-2000'!$D$40:$O$40</definedName>
    <definedName name="OA_Title" localSheetId="1">'BS  3-2000'!$16:$16</definedName>
    <definedName name="OA_Title" localSheetId="2">'BS &amp; PY Comp.  3-2000'!$16:$16</definedName>
    <definedName name="OA_Title" localSheetId="0">'TB Per. &amp; YTD Comp.  3-2000'!$B$19</definedName>
    <definedName name="OA_Total" localSheetId="1">'BS  3-2000'!$20:$20</definedName>
    <definedName name="OA_Total" localSheetId="2">'BS &amp; PY Comp.  3-2000'!$20:$20</definedName>
    <definedName name="OA_Total" localSheetId="0">'TB Per. &amp; YTD Comp.  3-2000'!$B$23</definedName>
    <definedName name="OC">'Ratio Rolling 12 Per  3-2000'!$D$19:$O$19</definedName>
    <definedName name="OCA" localSheetId="10">'Ratio Rolling 12 Per  3-2000'!$D$20:$O$20</definedName>
    <definedName name="OCL" localSheetId="10">'Ratio Rolling 12 Per  3-2000'!$D$21:$O$21</definedName>
    <definedName name="OE" localSheetId="10">'Ratio Rolling 12 Per  3-2000'!$D$47:$O$47</definedName>
    <definedName name="OE_Detail" localSheetId="5">'IS Per. &amp; YTD Comp 3-2000'!$43:$43</definedName>
    <definedName name="OE_Detail" localSheetId="6">'IS Rolling 12 Per 3-2000'!$43:$43</definedName>
    <definedName name="OE_Detail" localSheetId="7">'IS Rolling 4 Qtr Q4-FY 2000'!$43:$43</definedName>
    <definedName name="OE_Detail" localSheetId="8">'IS Year by Per FY2000'!$43:$43</definedName>
    <definedName name="OE_Detail" localSheetId="9">'IS Year by Qtr FY2000'!$43:$43</definedName>
    <definedName name="OE_Title" localSheetId="5">'IS Per. &amp; YTD Comp 3-2000'!$42:$42</definedName>
    <definedName name="OE_Title" localSheetId="6">'IS Rolling 12 Per 3-2000'!$42:$42</definedName>
    <definedName name="OE_Title" localSheetId="7">'IS Rolling 4 Qtr Q4-FY 2000'!$42:$42</definedName>
    <definedName name="OE_Title" localSheetId="8">'IS Year by Per FY2000'!$42:$42</definedName>
    <definedName name="OE_Title" localSheetId="9">'IS Year by Qtr FY2000'!$42:$42</definedName>
    <definedName name="OE_Title" localSheetId="0">'TB Per. &amp; YTD Comp.  3-2000'!$B$36</definedName>
    <definedName name="OE_Total" localSheetId="5">'IS Per. &amp; YTD Comp 3-2000'!$44:$44</definedName>
    <definedName name="OE_Total" localSheetId="6">'IS Rolling 12 Per 3-2000'!$44:$44</definedName>
    <definedName name="OE_Total" localSheetId="7">'IS Rolling 4 Qtr Q4-FY 2000'!$44:$44</definedName>
    <definedName name="OE_Total" localSheetId="8">'IS Year by Per FY2000'!$44:$44</definedName>
    <definedName name="OE_Total" localSheetId="9">'IS Year by Qtr FY2000'!$44:$44</definedName>
    <definedName name="OE_Total" localSheetId="0">'TB Per. &amp; YTD Comp.  3-2000'!$B$39</definedName>
    <definedName name="OI_Detail" localSheetId="5">'IS Per. &amp; YTD Comp 3-2000'!$39:$39</definedName>
    <definedName name="OI_Detail" localSheetId="6">'IS Rolling 12 Per 3-2000'!$39:$39</definedName>
    <definedName name="OI_Detail" localSheetId="7">'IS Rolling 4 Qtr Q4-FY 2000'!$39:$39</definedName>
    <definedName name="OI_Detail" localSheetId="8">'IS Year by Per FY2000'!$39:$39</definedName>
    <definedName name="OI_Detail" localSheetId="9">'IS Year by Qtr FY2000'!$39:$39</definedName>
    <definedName name="OI_Title" localSheetId="5">'IS Per. &amp; YTD Comp 3-2000'!$38:$38</definedName>
    <definedName name="OI_Title" localSheetId="6">'IS Rolling 12 Per 3-2000'!$38:$38</definedName>
    <definedName name="OI_Title" localSheetId="7">'IS Rolling 4 Qtr Q4-FY 2000'!$38:$38</definedName>
    <definedName name="OI_Title" localSheetId="8">'IS Year by Per FY2000'!$38:$38</definedName>
    <definedName name="OI_Title" localSheetId="9">'IS Year by Qtr FY2000'!$38:$38</definedName>
    <definedName name="OI_Total" localSheetId="5">'IS Per. &amp; YTD Comp 3-2000'!$40:$40</definedName>
    <definedName name="OI_Total" localSheetId="6">'IS Rolling 12 Per 3-2000'!$40:$40</definedName>
    <definedName name="OI_Total" localSheetId="7">'IS Rolling 4 Qtr Q4-FY 2000'!$40:$40</definedName>
    <definedName name="OI_Total" localSheetId="8">'IS Year by Per FY2000'!$40:$40</definedName>
    <definedName name="OI_Total" localSheetId="9">'IS Year by Qtr FY2000'!$40:$40</definedName>
    <definedName name="OL_Title" localSheetId="1">'BS  3-2000'!$28:$28</definedName>
    <definedName name="OL_Title" localSheetId="2">'BS &amp; PY Comp.  3-2000'!$28:$28</definedName>
    <definedName name="OL_Title" localSheetId="0">'TB Per. &amp; YTD Comp.  3-2000'!$B$31</definedName>
    <definedName name="OL_Total" localSheetId="1">'BS  3-2000'!$31:$31</definedName>
    <definedName name="OL_Total" localSheetId="2">'BS &amp; PY Comp.  3-2000'!$31:$31</definedName>
    <definedName name="OL_Total" localSheetId="0">'TB Per. &amp; YTD Comp.  3-2000'!$B$34</definedName>
    <definedName name="ONCA" localSheetId="10">'Ratio Rolling 12 Per  3-2000'!$D$22:$O$22</definedName>
    <definedName name="ONCL" localSheetId="10">'Ratio Rolling 12 Per  3-2000'!$D$23:$O$23</definedName>
    <definedName name="ONOE" localSheetId="10">'Ratio Rolling 12 Per  3-2000'!$D$24:$O$24</definedName>
    <definedName name="ONOI" localSheetId="10">'Ratio Rolling 12 Per  3-2000'!$D$25:$O$25</definedName>
    <definedName name="OOE">'Ratio Rolling 12 Per  3-2000'!$D$26:$O$26</definedName>
    <definedName name="OOE_Detail" localSheetId="5">'IS Per. &amp; YTD Comp 3-2000'!$26:$35</definedName>
    <definedName name="OOE_Detail" localSheetId="6">'IS Rolling 12 Per 3-2000'!$26:$35</definedName>
    <definedName name="OOE_Detail" localSheetId="7">'IS Rolling 4 Qtr Q4-FY 2000'!$26:$35</definedName>
    <definedName name="OOE_Detail" localSheetId="8">'IS Year by Per FY2000'!$26:$35</definedName>
    <definedName name="OOE_Detail" localSheetId="9">'IS Year by Qtr FY2000'!$26:$35</definedName>
    <definedName name="OOE_Title" localSheetId="5">'IS Per. &amp; YTD Comp 3-2000'!$25:$25</definedName>
    <definedName name="OOE_Title" localSheetId="6">'IS Rolling 12 Per 3-2000'!$25:$25</definedName>
    <definedName name="OOE_Title" localSheetId="7">'IS Rolling 4 Qtr Q4-FY 2000'!$25:$25</definedName>
    <definedName name="OOE_Title" localSheetId="8">'IS Year by Per FY2000'!$25:$25</definedName>
    <definedName name="OOE_Title" localSheetId="9">'IS Year by Qtr FY2000'!$25:$25</definedName>
    <definedName name="OOE_Total" localSheetId="5">'IS Per. &amp; YTD Comp 3-2000'!$36:$36</definedName>
    <definedName name="OOE_Total" localSheetId="6">'IS Rolling 12 Per 3-2000'!$36:$36</definedName>
    <definedName name="OOE_Total" localSheetId="7">'IS Rolling 4 Qtr Q4-FY 2000'!$36:$36</definedName>
    <definedName name="OOE_Total" localSheetId="8">'IS Year by Per FY2000'!$36:$36</definedName>
    <definedName name="OOE_Total" localSheetId="9">'IS Year by Qtr FY2000'!$36:$36</definedName>
    <definedName name="OPER_Detail" localSheetId="3">'CF Per. &amp; YTD Comp. 3-2000'!$9:$17</definedName>
    <definedName name="OPER_Detail" localSheetId="4">'CF Rolling 12 Per. 3-2000'!$10:$18</definedName>
    <definedName name="OPER_Title" localSheetId="3">'CF Per. &amp; YTD Comp. 3-2000'!$8:$8</definedName>
    <definedName name="OPER_Title" localSheetId="4">'CF Rolling 12 Per. 3-2000'!$9:$9</definedName>
    <definedName name="OPER_Total" localSheetId="3">'CF Per. &amp; YTD Comp. 3-2000'!$18:$18</definedName>
    <definedName name="OPER_Total" localSheetId="4">'CF Rolling 12 Per. 3-2000'!$19:$19</definedName>
    <definedName name="OperExp" localSheetId="12">'RevExp Chart 3-2000'!$B$9:$N$9</definedName>
    <definedName name="Owners_Equity_Title" localSheetId="1">'BS  3-2000'!$33:$33</definedName>
    <definedName name="Owners_Equity_Title" localSheetId="2">'BS &amp; PY Comp.  3-2000'!$33:$33</definedName>
    <definedName name="Owners_Equity_Total" localSheetId="1">'BS  3-2000'!$37:$37</definedName>
    <definedName name="Owners_Equity_Total" localSheetId="2">'BS &amp; PY Comp.  3-2000'!$37:$37</definedName>
    <definedName name="Period.Choice">"Drop Down 6"</definedName>
    <definedName name="Period.Description" localSheetId="1">'BS  3-2000'!#REF!</definedName>
    <definedName name="Period.Description" localSheetId="2">'BS &amp; PY Comp.  3-2000'!#REF!</definedName>
    <definedName name="Period.Description" localSheetId="3">'CF Per. &amp; YTD Comp. 3-2000'!#REF!</definedName>
    <definedName name="Period.Description" localSheetId="4">'CF Rolling 12 Per. 3-2000'!#REF!</definedName>
    <definedName name="Period.Description" localSheetId="11">'COSComp Chart 3-2000'!#REF!</definedName>
    <definedName name="Period.Description" localSheetId="5">'IS Per. &amp; YTD Comp 3-2000'!#REF!</definedName>
    <definedName name="Period.Description" localSheetId="6">'IS Rolling 12 Per 3-2000'!#REF!</definedName>
    <definedName name="Period.Description" localSheetId="7">'IS Rolling 4 Qtr Q4-FY 2000'!#REF!</definedName>
    <definedName name="Period.Description" localSheetId="8">'IS Year by Per FY2000'!#REF!</definedName>
    <definedName name="Period.Description" localSheetId="9">'IS Year by Qtr FY2000'!#REF!</definedName>
    <definedName name="Period.Description" localSheetId="12">'RevExp Chart 3-2000'!#REF!</definedName>
    <definedName name="Period.Description" localSheetId="0">'TB Per. &amp; YTD Comp.  3-2000'!#REF!</definedName>
    <definedName name="PI" localSheetId="10">'Ratio Rolling 12 Per  3-2000'!$D$32:$O$32</definedName>
    <definedName name="PIRow" localSheetId="10">'Ratio Rolling 12 Per  3-2000'!$32:$32</definedName>
    <definedName name="PN" localSheetId="10">'Ratio Rolling 12 Per  3-2000'!$D$31:$O$31</definedName>
    <definedName name="PPE">'Ratio Rolling 12 Per  3-2000'!$D$27:$O$27</definedName>
    <definedName name="Preview.Range" localSheetId="1">'BS  3-2000'!#REF!</definedName>
    <definedName name="Preview.Range" localSheetId="2">'BS &amp; PY Comp.  3-2000'!#REF!</definedName>
    <definedName name="Preview.Range" localSheetId="3">'CF Per. &amp; YTD Comp. 3-2000'!#REF!</definedName>
    <definedName name="Preview.Range" localSheetId="4">'CF Rolling 12 Per. 3-2000'!#REF!</definedName>
    <definedName name="Preview.Range" localSheetId="5">'IS Per. &amp; YTD Comp 3-2000'!#REF!</definedName>
    <definedName name="Preview.Range" localSheetId="6">'IS Rolling 12 Per 3-2000'!#REF!</definedName>
    <definedName name="Preview.Range" localSheetId="7">'IS Rolling 4 Qtr Q4-FY 2000'!#REF!</definedName>
    <definedName name="Preview.Range" localSheetId="8">'IS Year by Per FY2000'!#REF!</definedName>
    <definedName name="Preview.Range" localSheetId="9">'IS Year by Qtr FY2000'!#REF!</definedName>
    <definedName name="Preview.Range" localSheetId="10">'Ratio Rolling 12 Per  3-2000'!#REF!</definedName>
    <definedName name="Preview.Range" localSheetId="0">'TB Per. &amp; YTD Comp.  3-2000'!#REF!</definedName>
    <definedName name="Preview.Range.Monthly" localSheetId="2">'BS &amp; PY Comp.  3-2000'!$E$1:$E$3</definedName>
    <definedName name="Preview.Range.Monthly" localSheetId="0">'TB Per. &amp; YTD Comp.  3-2000'!$E$6:$F$6</definedName>
    <definedName name="Preview.Range.Per.YTD" localSheetId="1">'BS  3-2000'!#REF!</definedName>
    <definedName name="Preview.Range.Per.YTD" localSheetId="2">'BS &amp; PY Comp.  3-2000'!#REF!</definedName>
    <definedName name="Preview.Range.Per.YTD" localSheetId="10">'Ratio Rolling 12 Per  3-2000'!#REF!</definedName>
    <definedName name="Preview.Range.Per.YTD" localSheetId="0">'TB Per. &amp; YTD Comp.  3-2000'!#REF!</definedName>
    <definedName name="Prime.Account.Number" localSheetId="3">'CF Per. &amp; YTD Comp. 3-2000'!$A:$A</definedName>
    <definedName name="Prime.Account.Number" localSheetId="4">'CF Rolling 12 Per. 3-2000'!$A:$A</definedName>
    <definedName name="Prime.Description" localSheetId="3">'CF Per. &amp; YTD Comp. 3-2000'!$B:$B</definedName>
    <definedName name="Prime.Description" localSheetId="4">'CF Rolling 12 Per. 3-2000'!$B:$B</definedName>
    <definedName name="_xlnm.Print_Area" localSheetId="1">'BS  3-2000'!$C$6:$C$38</definedName>
    <definedName name="_xlnm.Print_Area" localSheetId="2">'BS &amp; PY Comp.  3-2000'!$C$6:$E$38</definedName>
    <definedName name="_xlnm.Print_Area" localSheetId="3">'CF Per. &amp; YTD Comp. 3-2000'!$A$4:$H$32</definedName>
    <definedName name="_xlnm.Print_Area" localSheetId="4">'CF Rolling 12 Per. 3-2000'!$A$5:$S$33</definedName>
    <definedName name="_xlnm.Print_Area" localSheetId="11">'COSComp Chart 3-2000'!$E$1:$N$26</definedName>
    <definedName name="_xlnm.Print_Area" localSheetId="5">'IS Per. &amp; YTD Comp 3-2000'!$A$2:$J$52</definedName>
    <definedName name="_xlnm.Print_Area" localSheetId="6">'IS Rolling 12 Per 3-2000'!$A$2:$S$52</definedName>
    <definedName name="_xlnm.Print_Area" localSheetId="7">'IS Rolling 4 Qtr Q4-FY 2000'!$A$2:$F$52</definedName>
    <definedName name="_xlnm.Print_Area" localSheetId="8">'IS Year by Per FY2000'!$A$2:$S$52</definedName>
    <definedName name="_xlnm.Print_Area" localSheetId="9">'IS Year by Qtr FY2000'!$A$2:$F$52</definedName>
    <definedName name="_xlnm.Print_Area" localSheetId="10">'Ratio Rolling 12 Per  3-2000'!$A$53:$O$96</definedName>
    <definedName name="_xlnm.Print_Area" localSheetId="12">'RevExp Chart 3-2000'!$B$13:$K$39</definedName>
    <definedName name="_xlnm.Print_Area" localSheetId="0">'TB Per. &amp; YTD Comp.  3-2000'!$C$10:$K$67</definedName>
    <definedName name="_xlnm.Print_Titles" localSheetId="1">'BS  3-2000'!$A:$B,'BS  3-2000'!$2:$6</definedName>
    <definedName name="_xlnm.Print_Titles" localSheetId="2">'BS &amp; PY Comp.  3-2000'!$A:$B,'BS &amp; PY Comp.  3-2000'!$1:$6</definedName>
    <definedName name="_xlnm.Print_Titles" localSheetId="3">'CF Per. &amp; YTD Comp. 3-2000'!$A:$B,'CF Per. &amp; YTD Comp. 3-2000'!$4:$6</definedName>
    <definedName name="_xlnm.Print_Titles" localSheetId="4">'CF Rolling 12 Per. 3-2000'!$A:$B,'CF Rolling 12 Per. 3-2000'!$5:$7</definedName>
    <definedName name="_xlnm.Print_Titles" localSheetId="5">'IS Per. &amp; YTD Comp 3-2000'!$A:$B,'IS Per. &amp; YTD Comp 3-2000'!$2:$7</definedName>
    <definedName name="_xlnm.Print_Titles" localSheetId="6">'IS Rolling 12 Per 3-2000'!$A:$B,'IS Rolling 12 Per 3-2000'!$2:$7</definedName>
    <definedName name="_xlnm.Print_Titles" localSheetId="7">'IS Rolling 4 Qtr Q4-FY 2000'!$A:$B,'IS Rolling 4 Qtr Q4-FY 2000'!$2:$7</definedName>
    <definedName name="_xlnm.Print_Titles" localSheetId="8">'IS Year by Per FY2000'!$A:$B,'IS Year by Per FY2000'!$2:$7</definedName>
    <definedName name="_xlnm.Print_Titles" localSheetId="9">'IS Year by Qtr FY2000'!$A:$B,'IS Year by Qtr FY2000'!$2:$7</definedName>
    <definedName name="_xlnm.Print_Titles" localSheetId="10">'Ratio Rolling 12 Per  3-2000'!$A:$B,'Ratio Rolling 12 Per  3-2000'!$53:$54</definedName>
    <definedName name="_xlnm.Print_Titles" localSheetId="0">'TB Per. &amp; YTD Comp.  3-2000'!$A:$B,'TB Per. &amp; YTD Comp.  3-2000'!$6:$9</definedName>
    <definedName name="Projected.Periods" localSheetId="1">'BS  3-2000'!#REF!</definedName>
    <definedName name="Projected.Periods" localSheetId="2">'BS &amp; PY Comp.  3-2000'!#REF!</definedName>
    <definedName name="Projected.Periods" localSheetId="3">'CF Per. &amp; YTD Comp. 3-2000'!#REF!</definedName>
    <definedName name="Projected.Periods" localSheetId="4">'CF Rolling 12 Per. 3-2000'!#REF!</definedName>
    <definedName name="Projected.Periods" localSheetId="11">'COSComp Chart 3-2000'!#REF!</definedName>
    <definedName name="Projected.Periods" localSheetId="5">'IS Per. &amp; YTD Comp 3-2000'!#REF!</definedName>
    <definedName name="Projected.Periods" localSheetId="6">'IS Rolling 12 Per 3-2000'!#REF!</definedName>
    <definedName name="Projected.Periods" localSheetId="7">'IS Rolling 4 Qtr Q4-FY 2000'!#REF!</definedName>
    <definedName name="Projected.Periods" localSheetId="8">'IS Year by Per FY2000'!#REF!</definedName>
    <definedName name="Projected.Periods" localSheetId="9">'IS Year by Qtr FY2000'!#REF!</definedName>
    <definedName name="Projected.Periods" localSheetId="10">'Ratio Rolling 12 Per  3-2000'!#REF!</definedName>
    <definedName name="Projected.Periods" localSheetId="12">'RevExp Chart 3-2000'!#REF!</definedName>
    <definedName name="Projected.Periods" localSheetId="0">'TB Per. &amp; YTD Comp.  3-2000'!#REF!</definedName>
    <definedName name="QA" localSheetId="10">'Ratio Rolling 12 Per  3-2000'!$D$38:$O$38</definedName>
    <definedName name="QA.Bottom.Right" localSheetId="1">'BS  3-2000'!$C$38</definedName>
    <definedName name="QA.Bottom.Right" localSheetId="2">'BS &amp; PY Comp.  3-2000'!$E$38</definedName>
    <definedName name="QA.Bottom.Right" localSheetId="3">'CF Per. &amp; YTD Comp. 3-2000'!$H$32</definedName>
    <definedName name="QA.Bottom.Right" localSheetId="4">'CF Rolling 12 Per. 3-2000'!$S$33</definedName>
    <definedName name="QA.Bottom.Right" localSheetId="5">'IS Per. &amp; YTD Comp 3-2000'!$J$52</definedName>
    <definedName name="QA.Bottom.Right" localSheetId="6">'IS Rolling 12 Per 3-2000'!$S$52</definedName>
    <definedName name="QA.Bottom.Right" localSheetId="7">'IS Rolling 4 Qtr Q4-FY 2000'!$F$52</definedName>
    <definedName name="QA.Bottom.Right" localSheetId="8">'IS Year by Per FY2000'!$S$52</definedName>
    <definedName name="QA.Bottom.Right" localSheetId="9">'IS Year by Qtr FY2000'!$F$52</definedName>
    <definedName name="QA.Bottom.Right" localSheetId="10">'Ratio Rolling 12 Per  3-2000'!$O$95</definedName>
    <definedName name="QA.Bottom.Right" localSheetId="0">'TB Per. &amp; YTD Comp.  3-2000'!$K$67</definedName>
    <definedName name="QA.Top.Left" localSheetId="1">'BS  3-2000'!$A$2</definedName>
    <definedName name="QA.Top.Left" localSheetId="2">'BS &amp; PY Comp.  3-2000'!$A$1</definedName>
    <definedName name="QA.Top.Left" localSheetId="3">'CF Per. &amp; YTD Comp. 3-2000'!#REF!</definedName>
    <definedName name="QA.Top.Left" localSheetId="4">'CF Rolling 12 Per. 3-2000'!#REF!</definedName>
    <definedName name="QA.Top.Left" localSheetId="5">'IS Per. &amp; YTD Comp 3-2000'!$A$2</definedName>
    <definedName name="QA.Top.Left" localSheetId="6">'IS Rolling 12 Per 3-2000'!$A$2</definedName>
    <definedName name="QA.Top.Left" localSheetId="7">'IS Rolling 4 Qtr Q4-FY 2000'!$A$2</definedName>
    <definedName name="QA.Top.Left" localSheetId="8">'IS Year by Per FY2000'!$A$2</definedName>
    <definedName name="QA.Top.Left" localSheetId="9">'IS Year by Qtr FY2000'!$A$2</definedName>
    <definedName name="QA.Top.Left" localSheetId="10">'Ratio Rolling 12 Per  3-2000'!$D$60</definedName>
    <definedName name="QA.Top.Left" localSheetId="0">'TB Per. &amp; YTD Comp.  3-2000'!$A$6</definedName>
    <definedName name="rDateDropDown" localSheetId="1">'BS  3-2000'!#REF!</definedName>
    <definedName name="rDateDropDown" localSheetId="2">'BS &amp; PY Comp.  3-2000'!#REF!</definedName>
    <definedName name="rDateDropDown" localSheetId="3">'CF Per. &amp; YTD Comp. 3-2000'!#REF!</definedName>
    <definedName name="rDateDropDown" localSheetId="4">'CF Rolling 12 Per. 3-2000'!#REF!</definedName>
    <definedName name="rDateDropDown" localSheetId="11">'COSComp Chart 3-2000'!#REF!</definedName>
    <definedName name="rDateDropDown" localSheetId="5">'IS Per. &amp; YTD Comp 3-2000'!#REF!</definedName>
    <definedName name="rDateDropDown" localSheetId="6">'IS Rolling 12 Per 3-2000'!#REF!</definedName>
    <definedName name="rDateDropDown" localSheetId="7">'IS Rolling 4 Qtr Q4-FY 2000'!#REF!</definedName>
    <definedName name="rDateDropDown" localSheetId="8">'IS Year by Per FY2000'!#REF!</definedName>
    <definedName name="rDateDropDown" localSheetId="9">'IS Year by Qtr FY2000'!#REF!</definedName>
    <definedName name="rDateDropDown" localSheetId="10">'Ratio Rolling 12 Per  3-2000'!#REF!</definedName>
    <definedName name="rDateDropDown" localSheetId="12">'RevExp Chart 3-2000'!#REF!</definedName>
    <definedName name="rDateDropDown" localSheetId="0">'TB Per. &amp; YTD Comp.  3-2000'!#REF!</definedName>
    <definedName name="RE" localSheetId="10">'Ratio Rolling 12 Per  3-2000'!$D$28:$O$28</definedName>
    <definedName name="Report.Company.Name" localSheetId="1">'BS  3-2000'!#REF!</definedName>
    <definedName name="Report.Company.Name" localSheetId="2">'BS &amp; PY Comp.  3-2000'!#REF!</definedName>
    <definedName name="Report.Company.Name" localSheetId="0">'TB Per. &amp; YTD Comp.  3-2000'!#REF!</definedName>
    <definedName name="Report.Created" localSheetId="1">'BS  3-2000'!#REF!</definedName>
    <definedName name="Report.Created" localSheetId="2">'BS &amp; PY Comp.  3-2000'!#REF!</definedName>
    <definedName name="Report.Created" localSheetId="3">'CF Per. &amp; YTD Comp. 3-2000'!#REF!</definedName>
    <definedName name="Report.Created" localSheetId="4">'CF Rolling 12 Per. 3-2000'!#REF!</definedName>
    <definedName name="Report.Created" localSheetId="11">'COSComp Chart 3-2000'!#REF!</definedName>
    <definedName name="Report.Created" localSheetId="5">'IS Per. &amp; YTD Comp 3-2000'!#REF!</definedName>
    <definedName name="Report.Created" localSheetId="6">'IS Rolling 12 Per 3-2000'!#REF!</definedName>
    <definedName name="Report.Created" localSheetId="7">'IS Rolling 4 Qtr Q4-FY 2000'!#REF!</definedName>
    <definedName name="Report.Created" localSheetId="8">'IS Year by Per FY2000'!#REF!</definedName>
    <definedName name="Report.Created" localSheetId="9">'IS Year by Qtr FY2000'!#REF!</definedName>
    <definedName name="Report.Created" localSheetId="10">'Ratio Rolling 12 Per  3-2000'!#REF!</definedName>
    <definedName name="Report.Created" localSheetId="12">'RevExp Chart 3-2000'!#REF!</definedName>
    <definedName name="Report.Created" localSheetId="0">'TB Per. &amp; YTD Comp.  3-2000'!#REF!</definedName>
    <definedName name="Report.Date" localSheetId="1">'BS  3-2000'!$B$4</definedName>
    <definedName name="Report.Date" localSheetId="2">'BS &amp; PY Comp.  3-2000'!$B$4</definedName>
    <definedName name="Report.Date" localSheetId="3">'CF Per. &amp; YTD Comp. 3-2000'!$B$4</definedName>
    <definedName name="Report.Date" localSheetId="4">'CF Rolling 12 Per. 3-2000'!$B$5</definedName>
    <definedName name="Report.Date" localSheetId="11">'COSComp Chart 3-2000'!#REF!</definedName>
    <definedName name="Report.Date" localSheetId="5">'IS Per. &amp; YTD Comp 3-2000'!$B$5</definedName>
    <definedName name="Report.Date" localSheetId="6">'IS Rolling 12 Per 3-2000'!$B$5</definedName>
    <definedName name="Report.Date" localSheetId="7">'IS Rolling 4 Qtr Q4-FY 2000'!$B$5</definedName>
    <definedName name="Report.Date" localSheetId="8">'IS Year by Per FY2000'!$B$5</definedName>
    <definedName name="Report.Date" localSheetId="9">'IS Year by Qtr FY2000'!$B$5</definedName>
    <definedName name="Report.Date" localSheetId="10">'Ratio Rolling 12 Per  3-2000'!$B$55</definedName>
    <definedName name="Report.Date" localSheetId="12">'RevExp Chart 3-2000'!$C$19</definedName>
    <definedName name="Report.Date" localSheetId="0">'TB Per. &amp; YTD Comp.  3-2000'!$B$6</definedName>
    <definedName name="Report.Drilldown.Enabled" localSheetId="11">'COSComp Chart 3-2000'!#REF!</definedName>
    <definedName name="Report.Drilldown.Enabled" localSheetId="10">'Ratio Rolling 12 Per  3-2000'!#REF!</definedName>
    <definedName name="Report.Drilldown.Enabled" localSheetId="12">'RevExp Chart 3-2000'!#REF!</definedName>
    <definedName name="Report.Drilldown.Enabled" localSheetId="0">'TB Per. &amp; YTD Comp.  3-2000'!#REF!</definedName>
    <definedName name="Report.First.PeriodIndex" localSheetId="1">'BS  3-2000'!#REF!</definedName>
    <definedName name="Report.First.PeriodIndex" localSheetId="2">'BS &amp; PY Comp.  3-2000'!#REF!</definedName>
    <definedName name="Report.First.PeriodIndex" localSheetId="3">'CF Per. &amp; YTD Comp. 3-2000'!#REF!</definedName>
    <definedName name="Report.First.PeriodIndex" localSheetId="4">'CF Rolling 12 Per. 3-2000'!#REF!</definedName>
    <definedName name="Report.First.PeriodIndex" localSheetId="11">'COSComp Chart 3-2000'!#REF!</definedName>
    <definedName name="Report.First.PeriodIndex" localSheetId="5">'IS Per. &amp; YTD Comp 3-2000'!#REF!</definedName>
    <definedName name="Report.First.PeriodIndex" localSheetId="6">'IS Rolling 12 Per 3-2000'!#REF!</definedName>
    <definedName name="Report.First.PeriodIndex" localSheetId="7">'IS Rolling 4 Qtr Q4-FY 2000'!#REF!</definedName>
    <definedName name="Report.First.PeriodIndex" localSheetId="8">'IS Year by Per FY2000'!#REF!</definedName>
    <definedName name="Report.First.PeriodIndex" localSheetId="9">'IS Year by Qtr FY2000'!#REF!</definedName>
    <definedName name="Report.First.PeriodIndex" localSheetId="10">'Ratio Rolling 12 Per  3-2000'!#REF!</definedName>
    <definedName name="Report.First.PeriodIndex" localSheetId="12">'RevExp Chart 3-2000'!#REF!</definedName>
    <definedName name="Report.First.PeriodIndex" localSheetId="0">'TB Per. &amp; YTD Comp.  3-2000'!#REF!</definedName>
    <definedName name="Report.Help.Context.ID" localSheetId="1">'BS  3-2000'!#REF!</definedName>
    <definedName name="Report.Help.Context.ID" localSheetId="2">'BS &amp; PY Comp.  3-2000'!#REF!</definedName>
    <definedName name="Report.Help.Context.ID" localSheetId="3">'CF Per. &amp; YTD Comp. 3-2000'!#REF!</definedName>
    <definedName name="Report.Help.Context.ID" localSheetId="4">'CF Rolling 12 Per. 3-2000'!#REF!</definedName>
    <definedName name="Report.Help.Context.ID" localSheetId="11">'COSComp Chart 3-2000'!#REF!</definedName>
    <definedName name="Report.Help.Context.ID" localSheetId="5">'IS Per. &amp; YTD Comp 3-2000'!#REF!</definedName>
    <definedName name="Report.Help.Context.ID" localSheetId="6">'IS Rolling 12 Per 3-2000'!#REF!</definedName>
    <definedName name="Report.Help.Context.ID" localSheetId="7">'IS Rolling 4 Qtr Q4-FY 2000'!#REF!</definedName>
    <definedName name="Report.Help.Context.ID" localSheetId="8">'IS Year by Per FY2000'!#REF!</definedName>
    <definedName name="Report.Help.Context.ID" localSheetId="9">'IS Year by Qtr FY2000'!#REF!</definedName>
    <definedName name="Report.Help.Context.ID" localSheetId="10">'Ratio Rolling 12 Per  3-2000'!#REF!</definedName>
    <definedName name="Report.Help.Context.ID" localSheetId="12">'RevExp Chart 3-2000'!#REF!</definedName>
    <definedName name="Report.Help.Context.ID" localSheetId="0">'TB Per. &amp; YTD Comp.  3-2000'!#REF!</definedName>
    <definedName name="Report.Help.ContextID" localSheetId="11">'COSComp Chart 3-2000'!#REF!</definedName>
    <definedName name="Report.Help.ContextID" localSheetId="12">'RevExp Chart 3-2000'!#REF!</definedName>
    <definedName name="Report.Help.Location" localSheetId="11">'COSComp Chart 3-2000'!#REF!</definedName>
    <definedName name="Report.Help.Location" localSheetId="12">'RevExp Chart 3-2000'!#REF!</definedName>
    <definedName name="Report.Last.PeriodIndex" localSheetId="1">'BS  3-2000'!#REF!</definedName>
    <definedName name="Report.Last.PeriodIndex" localSheetId="2">'BS &amp; PY Comp.  3-2000'!#REF!</definedName>
    <definedName name="Report.Last.PeriodIndex" localSheetId="3">'CF Per. &amp; YTD Comp. 3-2000'!#REF!</definedName>
    <definedName name="Report.Last.PeriodIndex" localSheetId="4">'CF Rolling 12 Per. 3-2000'!#REF!</definedName>
    <definedName name="Report.Last.PeriodIndex" localSheetId="11">'COSComp Chart 3-2000'!#REF!</definedName>
    <definedName name="Report.Last.PeriodIndex" localSheetId="5">'IS Per. &amp; YTD Comp 3-2000'!#REF!</definedName>
    <definedName name="Report.Last.PeriodIndex" localSheetId="6">'IS Rolling 12 Per 3-2000'!#REF!</definedName>
    <definedName name="Report.Last.PeriodIndex" localSheetId="7">'IS Rolling 4 Qtr Q4-FY 2000'!#REF!</definedName>
    <definedName name="Report.Last.PeriodIndex" localSheetId="8">'IS Year by Per FY2000'!#REF!</definedName>
    <definedName name="Report.Last.PeriodIndex" localSheetId="9">'IS Year by Qtr FY2000'!#REF!</definedName>
    <definedName name="Report.Last.PeriodIndex" localSheetId="10">'Ratio Rolling 12 Per  3-2000'!#REF!</definedName>
    <definedName name="Report.Last.PeriodIndex" localSheetId="12">'RevExp Chart 3-2000'!#REF!</definedName>
    <definedName name="Report.Last.PeriodIndex" localSheetId="0">'TB Per. &amp; YTD Comp.  3-2000'!#REF!</definedName>
    <definedName name="Report.Originator.Name" localSheetId="1">'BS  3-2000'!#REF!</definedName>
    <definedName name="Report.Originator.Name" localSheetId="2">'BS &amp; PY Comp.  3-2000'!#REF!</definedName>
    <definedName name="Report.Originator.Name" localSheetId="3">'CF Per. &amp; YTD Comp. 3-2000'!#REF!</definedName>
    <definedName name="Report.Originator.Name" localSheetId="4">'CF Rolling 12 Per. 3-2000'!#REF!</definedName>
    <definedName name="Report.Originator.Name" localSheetId="11">'COSComp Chart 3-2000'!#REF!</definedName>
    <definedName name="Report.Originator.Name" localSheetId="5">'IS Per. &amp; YTD Comp 3-2000'!#REF!</definedName>
    <definedName name="Report.Originator.Name" localSheetId="6">'IS Rolling 12 Per 3-2000'!#REF!</definedName>
    <definedName name="Report.Originator.Name" localSheetId="7">'IS Rolling 4 Qtr Q4-FY 2000'!#REF!</definedName>
    <definedName name="Report.Originator.Name" localSheetId="8">'IS Year by Per FY2000'!#REF!</definedName>
    <definedName name="Report.Originator.Name" localSheetId="9">'IS Year by Qtr FY2000'!#REF!</definedName>
    <definedName name="Report.Originator.Name" localSheetId="10">'Ratio Rolling 12 Per  3-2000'!#REF!</definedName>
    <definedName name="Report.Originator.Name" localSheetId="12">'RevExp Chart 3-2000'!#REF!</definedName>
    <definedName name="Report.Originator.Name" localSheetId="0">'TB Per. &amp; YTD Comp.  3-2000'!#REF!</definedName>
    <definedName name="Report.Period" localSheetId="1">'BS  3-2000'!#REF!</definedName>
    <definedName name="Report.Period" localSheetId="2">'BS &amp; PY Comp.  3-2000'!#REF!</definedName>
    <definedName name="Report.Period" localSheetId="3">'CF Per. &amp; YTD Comp. 3-2000'!#REF!</definedName>
    <definedName name="Report.Period" localSheetId="4">'CF Rolling 12 Per. 3-2000'!#REF!</definedName>
    <definedName name="Report.Period" localSheetId="11">'COSComp Chart 3-2000'!#REF!</definedName>
    <definedName name="Report.Period" localSheetId="5">'IS Per. &amp; YTD Comp 3-2000'!#REF!</definedName>
    <definedName name="Report.Period" localSheetId="6">'IS Rolling 12 Per 3-2000'!#REF!</definedName>
    <definedName name="Report.Period" localSheetId="7">'IS Rolling 4 Qtr Q4-FY 2000'!#REF!</definedName>
    <definedName name="Report.Period" localSheetId="8">'IS Year by Per FY2000'!#REF!</definedName>
    <definedName name="Report.Period" localSheetId="9">'IS Year by Qtr FY2000'!#REF!</definedName>
    <definedName name="Report.Period" localSheetId="10">'Ratio Rolling 12 Per  3-2000'!#REF!</definedName>
    <definedName name="Report.Period" localSheetId="12">'RevExp Chart 3-2000'!#REF!</definedName>
    <definedName name="Report.Period" localSheetId="0">'TB Per. &amp; YTD Comp.  3-2000'!#REF!</definedName>
    <definedName name="Report.Period.Description" localSheetId="1">'BS  3-2000'!#REF!</definedName>
    <definedName name="Report.Period.Description" localSheetId="2">'BS &amp; PY Comp.  3-2000'!#REF!</definedName>
    <definedName name="Report.Period.Description" localSheetId="3">'CF Per. &amp; YTD Comp. 3-2000'!#REF!</definedName>
    <definedName name="Report.Period.Description" localSheetId="4">'CF Rolling 12 Per. 3-2000'!#REF!</definedName>
    <definedName name="Report.Period.Description" localSheetId="11">'COSComp Chart 3-2000'!#REF!</definedName>
    <definedName name="Report.Period.Description" localSheetId="5">'IS Per. &amp; YTD Comp 3-2000'!#REF!</definedName>
    <definedName name="Report.Period.Description" localSheetId="6">'IS Rolling 12 Per 3-2000'!#REF!</definedName>
    <definedName name="Report.Period.Description" localSheetId="7">'IS Rolling 4 Qtr Q4-FY 2000'!#REF!</definedName>
    <definedName name="Report.Period.Description" localSheetId="8">'IS Year by Per FY2000'!#REF!</definedName>
    <definedName name="Report.Period.Description" localSheetId="9">'IS Year by Qtr FY2000'!#REF!</definedName>
    <definedName name="Report.Period.Description" localSheetId="10">'Ratio Rolling 12 Per  3-2000'!#REF!</definedName>
    <definedName name="Report.Period.Description" localSheetId="12">'RevExp Chart 3-2000'!#REF!</definedName>
    <definedName name="Report.Period.Description" localSheetId="0">'TB Per. &amp; YTD Comp.  3-2000'!#REF!</definedName>
    <definedName name="Report.Run.By" localSheetId="1">'BS  3-2000'!#REF!</definedName>
    <definedName name="Report.Run.By" localSheetId="2">'BS &amp; PY Comp.  3-2000'!#REF!</definedName>
    <definedName name="Report.Run.By" localSheetId="3">'CF Per. &amp; YTD Comp. 3-2000'!#REF!</definedName>
    <definedName name="Report.Run.By" localSheetId="4">'CF Rolling 12 Per. 3-2000'!#REF!</definedName>
    <definedName name="Report.Run.By" localSheetId="11">'COSComp Chart 3-2000'!#REF!</definedName>
    <definedName name="Report.Run.By" localSheetId="5">'IS Per. &amp; YTD Comp 3-2000'!#REF!</definedName>
    <definedName name="Report.Run.By" localSheetId="6">'IS Rolling 12 Per 3-2000'!#REF!</definedName>
    <definedName name="Report.Run.By" localSheetId="7">'IS Rolling 4 Qtr Q4-FY 2000'!#REF!</definedName>
    <definedName name="Report.Run.By" localSheetId="8">'IS Year by Per FY2000'!#REF!</definedName>
    <definedName name="Report.Run.By" localSheetId="9">'IS Year by Qtr FY2000'!#REF!</definedName>
    <definedName name="Report.Run.By" localSheetId="10">'Ratio Rolling 12 Per  3-2000'!#REF!</definedName>
    <definedName name="Report.Run.By" localSheetId="12">'RevExp Chart 3-2000'!#REF!</definedName>
    <definedName name="Report.Run.By" localSheetId="0">'TB Per. &amp; YTD Comp.  3-2000'!#REF!</definedName>
    <definedName name="Report.Scope.1" localSheetId="1">'BS  3-2000'!#REF!</definedName>
    <definedName name="Report.Scope.1" localSheetId="2">'BS &amp; PY Comp.  3-2000'!#REF!</definedName>
    <definedName name="Report.Scope.1" localSheetId="3">'CF Per. &amp; YTD Comp. 3-2000'!#REF!</definedName>
    <definedName name="Report.Scope.1" localSheetId="4">'CF Rolling 12 Per. 3-2000'!#REF!</definedName>
    <definedName name="Report.Scope.1" localSheetId="11">'COSComp Chart 3-2000'!#REF!</definedName>
    <definedName name="Report.Scope.1" localSheetId="5">'IS Per. &amp; YTD Comp 3-2000'!#REF!</definedName>
    <definedName name="Report.Scope.1" localSheetId="6">'IS Rolling 12 Per 3-2000'!#REF!</definedName>
    <definedName name="Report.Scope.1" localSheetId="7">'IS Rolling 4 Qtr Q4-FY 2000'!#REF!</definedName>
    <definedName name="Report.Scope.1" localSheetId="8">'IS Year by Per FY2000'!#REF!</definedName>
    <definedName name="Report.Scope.1" localSheetId="9">'IS Year by Qtr FY2000'!#REF!</definedName>
    <definedName name="Report.Scope.1" localSheetId="10">'Ratio Rolling 12 Per  3-2000'!#REF!</definedName>
    <definedName name="Report.Scope.1" localSheetId="12">'RevExp Chart 3-2000'!#REF!</definedName>
    <definedName name="Report.Scope.1" localSheetId="0">'TB Per. &amp; YTD Comp.  3-2000'!#REF!</definedName>
    <definedName name="Report.Scope.2" localSheetId="1">'BS  3-2000'!#REF!</definedName>
    <definedName name="Report.Scope.2" localSheetId="2">'BS &amp; PY Comp.  3-2000'!#REF!</definedName>
    <definedName name="Report.Scope.2" localSheetId="3">'CF Per. &amp; YTD Comp. 3-2000'!#REF!</definedName>
    <definedName name="Report.Scope.2" localSheetId="4">'CF Rolling 12 Per. 3-2000'!#REF!</definedName>
    <definedName name="Report.Scope.2" localSheetId="11">'COSComp Chart 3-2000'!#REF!</definedName>
    <definedName name="Report.Scope.2" localSheetId="5">'IS Per. &amp; YTD Comp 3-2000'!#REF!</definedName>
    <definedName name="Report.Scope.2" localSheetId="6">'IS Rolling 12 Per 3-2000'!#REF!</definedName>
    <definedName name="Report.Scope.2" localSheetId="7">'IS Rolling 4 Qtr Q4-FY 2000'!#REF!</definedName>
    <definedName name="Report.Scope.2" localSheetId="8">'IS Year by Per FY2000'!#REF!</definedName>
    <definedName name="Report.Scope.2" localSheetId="9">'IS Year by Qtr FY2000'!#REF!</definedName>
    <definedName name="Report.Scope.2" localSheetId="10">'Ratio Rolling 12 Per  3-2000'!#REF!</definedName>
    <definedName name="Report.Scope.2" localSheetId="12">'RevExp Chart 3-2000'!#REF!</definedName>
    <definedName name="Report.Scope.2" localSheetId="0">'TB Per. &amp; YTD Comp.  3-2000'!#REF!</definedName>
    <definedName name="Report.Sheet.List" localSheetId="11">OFFSET([0]!Report.Sheet.List.Top,0,0,[0]!Report.Sheet.Count,1)</definedName>
    <definedName name="Report.Sheet.List" localSheetId="10">OFFSET([0]!Report.Sheet.List.Top,0,0,[0]!Report.Sheet.Count,1)</definedName>
    <definedName name="Report.Sheet.List" localSheetId="12">OFFSET([0]!Report.Sheet.List.Top,0,0,[0]!Report.Sheet.Count,1)</definedName>
    <definedName name="Report.Sheet.List" localSheetId="0">OFFSET([0]!Report.Sheet.List.Top,0,0,[0]!Report.Sheet.Count,1)</definedName>
    <definedName name="Report.Sheet.List">OFFSET([0]!Report.Sheet.List.Top,0,0,[0]!Report.Sheet.Count,1)</definedName>
    <definedName name="Report.Sheet.Selected" localSheetId="11">OFFSET([0]!Report.Sheet.Selected.Top,0,0,[0]!Report.Sheet.Count,1)</definedName>
    <definedName name="Report.Sheet.Selected" localSheetId="10">OFFSET([0]!Report.Sheet.Selected.Top,0,0,[0]!Report.Sheet.Count,1)</definedName>
    <definedName name="Report.Sheet.Selected" localSheetId="12">OFFSET([0]!Report.Sheet.Selected.Top,0,0,[0]!Report.Sheet.Count,1)</definedName>
    <definedName name="Report.Sheet.Selected" localSheetId="0">OFFSET([0]!Report.Sheet.Selected.Top,0,0,[0]!Report.Sheet.Count,1)</definedName>
    <definedName name="Report.Sheet.Selected">OFFSET([0]!Report.Sheet.Selected.Top,0,0,[0]!Report.Sheet.Count,1)</definedName>
    <definedName name="Report.SignControl" localSheetId="11">'COSComp Chart 3-2000'!#REF!</definedName>
    <definedName name="Report.SignControl" localSheetId="12">'RevExp Chart 3-2000'!#REF!</definedName>
    <definedName name="Report.Source.Database" localSheetId="1">'BS  3-2000'!#REF!</definedName>
    <definedName name="Report.Source.Database" localSheetId="2">'BS &amp; PY Comp.  3-2000'!#REF!</definedName>
    <definedName name="Report.Source.Database" localSheetId="3">'CF Per. &amp; YTD Comp. 3-2000'!#REF!</definedName>
    <definedName name="Report.Source.Database" localSheetId="4">'CF Rolling 12 Per. 3-2000'!#REF!</definedName>
    <definedName name="Report.Source.Database" localSheetId="11">'COSComp Chart 3-2000'!#REF!</definedName>
    <definedName name="Report.Source.Database" localSheetId="5">'IS Per. &amp; YTD Comp 3-2000'!#REF!</definedName>
    <definedName name="Report.Source.Database" localSheetId="6">'IS Rolling 12 Per 3-2000'!#REF!</definedName>
    <definedName name="Report.Source.Database" localSheetId="7">'IS Rolling 4 Qtr Q4-FY 2000'!#REF!</definedName>
    <definedName name="Report.Source.Database" localSheetId="8">'IS Year by Per FY2000'!#REF!</definedName>
    <definedName name="Report.Source.Database" localSheetId="9">'IS Year by Qtr FY2000'!#REF!</definedName>
    <definedName name="Report.Source.Database" localSheetId="10">'Ratio Rolling 12 Per  3-2000'!#REF!</definedName>
    <definedName name="Report.Source.Database" localSheetId="12">'RevExp Chart 3-2000'!#REF!</definedName>
    <definedName name="Report.Source.Database" localSheetId="0">'TB Per. &amp; YTD Comp.  3-2000'!#REF!</definedName>
    <definedName name="Report.Subtype" localSheetId="1">'BS  3-2000'!#REF!</definedName>
    <definedName name="Report.Subtype" localSheetId="2">'BS &amp; PY Comp.  3-2000'!#REF!</definedName>
    <definedName name="Report.Subtype" localSheetId="3">'CF Per. &amp; YTD Comp. 3-2000'!#REF!</definedName>
    <definedName name="Report.Subtype" localSheetId="4">'CF Rolling 12 Per. 3-2000'!#REF!</definedName>
    <definedName name="Report.Subtype" localSheetId="11">'COSComp Chart 3-2000'!#REF!</definedName>
    <definedName name="Report.Subtype" localSheetId="5">'IS Per. &amp; YTD Comp 3-2000'!#REF!</definedName>
    <definedName name="Report.Subtype" localSheetId="6">'IS Rolling 12 Per 3-2000'!#REF!</definedName>
    <definedName name="Report.Subtype" localSheetId="7">'IS Rolling 4 Qtr Q4-FY 2000'!#REF!</definedName>
    <definedName name="Report.Subtype" localSheetId="8">'IS Year by Per FY2000'!#REF!</definedName>
    <definedName name="Report.Subtype" localSheetId="9">'IS Year by Qtr FY2000'!#REF!</definedName>
    <definedName name="Report.Subtype" localSheetId="10">'Ratio Rolling 12 Per  3-2000'!#REF!</definedName>
    <definedName name="Report.Subtype" localSheetId="12">'RevExp Chart 3-2000'!#REF!</definedName>
    <definedName name="Report.Subtype" localSheetId="0">'TB Per. &amp; YTD Comp.  3-2000'!#REF!</definedName>
    <definedName name="Report.Type" localSheetId="1">'BS  3-2000'!#REF!</definedName>
    <definedName name="Report.Type" localSheetId="2">'BS &amp; PY Comp.  3-2000'!#REF!</definedName>
    <definedName name="Report.Type" localSheetId="3">'CF Per. &amp; YTD Comp. 3-2000'!#REF!</definedName>
    <definedName name="Report.Type" localSheetId="4">'CF Rolling 12 Per. 3-2000'!#REF!</definedName>
    <definedName name="Report.Type" localSheetId="11">'COSComp Chart 3-2000'!#REF!</definedName>
    <definedName name="Report.Type" localSheetId="5">'IS Per. &amp; YTD Comp 3-2000'!#REF!</definedName>
    <definedName name="Report.Type" localSheetId="6">'IS Rolling 12 Per 3-2000'!#REF!</definedName>
    <definedName name="Report.Type" localSheetId="7">'IS Rolling 4 Qtr Q4-FY 2000'!#REF!</definedName>
    <definedName name="Report.Type" localSheetId="8">'IS Year by Per FY2000'!#REF!</definedName>
    <definedName name="Report.Type" localSheetId="9">'IS Year by Qtr FY2000'!#REF!</definedName>
    <definedName name="Report.Type" localSheetId="10">'Ratio Rolling 12 Per  3-2000'!#REF!</definedName>
    <definedName name="Report.Type" localSheetId="12">'RevExp Chart 3-2000'!#REF!</definedName>
    <definedName name="Report.Type" localSheetId="0">'TB Per. &amp; YTD Comp.  3-2000'!#REF!</definedName>
    <definedName name="Report.Type.List" localSheetId="11">OFFSET([0]!Report.Type.List.Top,0,0,[0]!Report.Type.Count,1)</definedName>
    <definedName name="Report.Type.List" localSheetId="10">OFFSET([0]!Report.Type.List.Top,0,0,[0]!Report.Type.Count,1)</definedName>
    <definedName name="Report.Type.List" localSheetId="12">OFFSET([0]!Report.Type.List.Top,0,0,[0]!Report.Type.Count,1)</definedName>
    <definedName name="Report.Type.List" localSheetId="0">OFFSET([0]!Report.Type.List.Top,0,0,[0]!Report.Type.Count,1)</definedName>
    <definedName name="Report.Type.List">OFFSET([0]!Report.Type.List.Top,0,0,[0]!Report.Type.Count,1)</definedName>
    <definedName name="Report.Type.Selected" localSheetId="11">OFFSET([0]!Report.Type.Selected.Top,0,0,[0]!Report.Type.Count,1)</definedName>
    <definedName name="Report.Type.Selected" localSheetId="10">OFFSET([0]!Report.Type.Selected.Top,0,0,[0]!Report.Type.Count,1)</definedName>
    <definedName name="Report.Type.Selected" localSheetId="12">OFFSET([0]!Report.Type.Selected.Top,0,0,[0]!Report.Type.Count,1)</definedName>
    <definedName name="Report.Type.Selected" localSheetId="0">OFFSET([0]!Report.Type.Selected.Top,0,0,[0]!Report.Type.Count,1)</definedName>
    <definedName name="Report.Type.Selected">OFFSET([0]!Report.Type.Selected.Top,0,0,[0]!Report.Type.Count,1)</definedName>
    <definedName name="Report.Updated" localSheetId="1">'BS  3-2000'!#REF!</definedName>
    <definedName name="Report.Updated" localSheetId="2">'BS &amp; PY Comp.  3-2000'!#REF!</definedName>
    <definedName name="Report.Updated" localSheetId="3">'CF Per. &amp; YTD Comp. 3-2000'!#REF!</definedName>
    <definedName name="Report.Updated" localSheetId="4">'CF Rolling 12 Per. 3-2000'!#REF!</definedName>
    <definedName name="Report.Updated" localSheetId="11">'COSComp Chart 3-2000'!#REF!</definedName>
    <definedName name="Report.Updated" localSheetId="5">'IS Per. &amp; YTD Comp 3-2000'!#REF!</definedName>
    <definedName name="Report.Updated" localSheetId="6">'IS Rolling 12 Per 3-2000'!#REF!</definedName>
    <definedName name="Report.Updated" localSheetId="7">'IS Rolling 4 Qtr Q4-FY 2000'!#REF!</definedName>
    <definedName name="Report.Updated" localSheetId="8">'IS Year by Per FY2000'!#REF!</definedName>
    <definedName name="Report.Updated" localSheetId="9">'IS Year by Qtr FY2000'!#REF!</definedName>
    <definedName name="Report.Updated" localSheetId="10">'Ratio Rolling 12 Per  3-2000'!#REF!</definedName>
    <definedName name="Report.Updated" localSheetId="12">'RevExp Chart 3-2000'!#REF!</definedName>
    <definedName name="Report.Updated" localSheetId="0">'TB Per. &amp; YTD Comp.  3-2000'!#REF!</definedName>
    <definedName name="Report.Version.Number" localSheetId="1">'BS  3-2000'!#REF!</definedName>
    <definedName name="Report.Version.Number" localSheetId="2">'BS &amp; PY Comp.  3-2000'!#REF!</definedName>
    <definedName name="Report.Version.Number" localSheetId="3">'CF Per. &amp; YTD Comp. 3-2000'!#REF!</definedName>
    <definedName name="Report.Version.Number" localSheetId="4">'CF Rolling 12 Per. 3-2000'!#REF!</definedName>
    <definedName name="Report.Version.Number" localSheetId="11">'COSComp Chart 3-2000'!#REF!</definedName>
    <definedName name="Report.Version.Number" localSheetId="5">'IS Per. &amp; YTD Comp 3-2000'!#REF!</definedName>
    <definedName name="Report.Version.Number" localSheetId="6">'IS Rolling 12 Per 3-2000'!#REF!</definedName>
    <definedName name="Report.Version.Number" localSheetId="7">'IS Rolling 4 Qtr Q4-FY 2000'!#REF!</definedName>
    <definedName name="Report.Version.Number" localSheetId="8">'IS Year by Per FY2000'!#REF!</definedName>
    <definedName name="Report.Version.Number" localSheetId="9">'IS Year by Qtr FY2000'!#REF!</definedName>
    <definedName name="Report.Version.Number" localSheetId="10">'Ratio Rolling 12 Per  3-2000'!#REF!</definedName>
    <definedName name="Report.Version.Number" localSheetId="12">'RevExp Chart 3-2000'!#REF!</definedName>
    <definedName name="Report.Version.Number" localSheetId="0">'TB Per. &amp; YTD Comp.  3-2000'!#REF!</definedName>
    <definedName name="Report.Width" localSheetId="10">'Ratio Rolling 12 Per  3-2000'!$B$52</definedName>
    <definedName name="Report.Year" localSheetId="1">'BS  3-2000'!#REF!</definedName>
    <definedName name="Report.Year" localSheetId="2">'BS &amp; PY Comp.  3-2000'!#REF!</definedName>
    <definedName name="Report.Year" localSheetId="3">'CF Per. &amp; YTD Comp. 3-2000'!#REF!</definedName>
    <definedName name="Report.Year" localSheetId="4">'CF Rolling 12 Per. 3-2000'!#REF!</definedName>
    <definedName name="Report.Year" localSheetId="11">'COSComp Chart 3-2000'!#REF!</definedName>
    <definedName name="Report.Year" localSheetId="5">'IS Per. &amp; YTD Comp 3-2000'!#REF!</definedName>
    <definedName name="Report.Year" localSheetId="6">'IS Rolling 12 Per 3-2000'!#REF!</definedName>
    <definedName name="Report.Year" localSheetId="7">'IS Rolling 4 Qtr Q4-FY 2000'!#REF!</definedName>
    <definedName name="Report.Year" localSheetId="8">'IS Year by Per FY2000'!#REF!</definedName>
    <definedName name="Report.Year" localSheetId="9">'IS Year by Qtr FY2000'!#REF!</definedName>
    <definedName name="Report.Year" localSheetId="10">'Ratio Rolling 12 Per  3-2000'!#REF!</definedName>
    <definedName name="Report.Year" localSheetId="12">'RevExp Chart 3-2000'!#REF!</definedName>
    <definedName name="Report.Year" localSheetId="0">'TB Per. &amp; YTD Comp.  3-2000'!#REF!</definedName>
    <definedName name="ReportLeft" localSheetId="10">'Ratio Rolling 12 Per  3-2000'!$A$55:$A$95</definedName>
    <definedName name="REV_Detail" localSheetId="5">'IS Per. &amp; YTD Comp 3-2000'!$10:$13</definedName>
    <definedName name="REV_Detail" localSheetId="6">'IS Rolling 12 Per 3-2000'!$10:$13</definedName>
    <definedName name="REV_Detail" localSheetId="7">'IS Rolling 4 Qtr Q4-FY 2000'!$10:$13</definedName>
    <definedName name="REV_Detail" localSheetId="8">'IS Year by Per FY2000'!$10:$13</definedName>
    <definedName name="REV_Detail" localSheetId="9">'IS Year by Qtr FY2000'!$10:$13</definedName>
    <definedName name="REV_Title" localSheetId="5">'IS Per. &amp; YTD Comp 3-2000'!$9:$9</definedName>
    <definedName name="REV_Title" localSheetId="6">'IS Rolling 12 Per 3-2000'!$9:$9</definedName>
    <definedName name="REV_Title" localSheetId="7">'IS Rolling 4 Qtr Q4-FY 2000'!$9:$9</definedName>
    <definedName name="REV_Title" localSheetId="8">'IS Year by Per FY2000'!$9:$9</definedName>
    <definedName name="REV_Title" localSheetId="9">'IS Year by Qtr FY2000'!$9:$9</definedName>
    <definedName name="REV_Title" localSheetId="0">'TB Per. &amp; YTD Comp.  3-2000'!$B$40</definedName>
    <definedName name="REV_Total" localSheetId="5">'IS Per. &amp; YTD Comp 3-2000'!$14:$14</definedName>
    <definedName name="REV_Total" localSheetId="6">'IS Rolling 12 Per 3-2000'!$14:$14</definedName>
    <definedName name="REV_Total" localSheetId="7">'IS Rolling 4 Qtr Q4-FY 2000'!$14:$14</definedName>
    <definedName name="REV_Total" localSheetId="8">'IS Year by Per FY2000'!$14:$14</definedName>
    <definedName name="REV_Total" localSheetId="9">'IS Year by Qtr FY2000'!$14:$14</definedName>
    <definedName name="REV_Total" localSheetId="0">'TB Per. &amp; YTD Comp.  3-2000'!$B$45</definedName>
    <definedName name="Revenue" localSheetId="12">'RevExp Chart 3-2000'!$B$7:$N$7</definedName>
    <definedName name="SalesAnalysis.AcctPart" localSheetId="1">'BS  3-2000'!#REF!</definedName>
    <definedName name="SalesAnalysis.AcctPart" localSheetId="2">'BS &amp; PY Comp.  3-2000'!#REF!</definedName>
    <definedName name="SalesAnalysis.AcctPart" localSheetId="3">'CF Per. &amp; YTD Comp. 3-2000'!#REF!</definedName>
    <definedName name="SalesAnalysis.AcctPart" localSheetId="4">'CF Rolling 12 Per. 3-2000'!#REF!</definedName>
    <definedName name="SalesAnalysis.AcctPart" localSheetId="5">'IS Per. &amp; YTD Comp 3-2000'!#REF!</definedName>
    <definedName name="SalesAnalysis.AcctPart" localSheetId="6">'IS Rolling 12 Per 3-2000'!#REF!</definedName>
    <definedName name="SalesAnalysis.AcctPart" localSheetId="7">'IS Rolling 4 Qtr Q4-FY 2000'!#REF!</definedName>
    <definedName name="SalesAnalysis.AcctPart" localSheetId="8">'IS Year by Per FY2000'!#REF!</definedName>
    <definedName name="SalesAnalysis.AcctPart" localSheetId="9">'IS Year by Qtr FY2000'!#REF!</definedName>
    <definedName name="SalesAnalysis.AcctPart" localSheetId="0">'TB Per. &amp; YTD Comp.  3-2000'!#REF!</definedName>
    <definedName name="SalesAnalysis.Actual" localSheetId="1">'BS  3-2000'!#REF!</definedName>
    <definedName name="SalesAnalysis.Actual" localSheetId="2">'BS &amp; PY Comp.  3-2000'!#REF!</definedName>
    <definedName name="SalesAnalysis.Actual" localSheetId="3">'CF Per. &amp; YTD Comp. 3-2000'!#REF!</definedName>
    <definedName name="SalesAnalysis.Actual" localSheetId="4">'CF Rolling 12 Per. 3-2000'!#REF!</definedName>
    <definedName name="SalesAnalysis.Actual" localSheetId="5">'IS Per. &amp; YTD Comp 3-2000'!#REF!</definedName>
    <definedName name="SalesAnalysis.Actual" localSheetId="6">'IS Rolling 12 Per 3-2000'!#REF!</definedName>
    <definedName name="SalesAnalysis.Actual" localSheetId="7">'IS Rolling 4 Qtr Q4-FY 2000'!#REF!</definedName>
    <definedName name="SalesAnalysis.Actual" localSheetId="8">'IS Year by Per FY2000'!#REF!</definedName>
    <definedName name="SalesAnalysis.Actual" localSheetId="9">'IS Year by Qtr FY2000'!#REF!</definedName>
    <definedName name="SalesAnalysis.Actual" localSheetId="0">'TB Per. &amp; YTD Comp.  3-2000'!#REF!</definedName>
    <definedName name="SalesAnalysis.Budget" localSheetId="1">'BS  3-2000'!#REF!</definedName>
    <definedName name="SalesAnalysis.Budget" localSheetId="2">'BS &amp; PY Comp.  3-2000'!#REF!</definedName>
    <definedName name="SalesAnalysis.Budget" localSheetId="3">'CF Per. &amp; YTD Comp. 3-2000'!#REF!</definedName>
    <definedName name="SalesAnalysis.Budget" localSheetId="4">'CF Rolling 12 Per. 3-2000'!#REF!</definedName>
    <definedName name="SalesAnalysis.Budget" localSheetId="5">'IS Per. &amp; YTD Comp 3-2000'!#REF!</definedName>
    <definedName name="SalesAnalysis.Budget" localSheetId="6">'IS Rolling 12 Per 3-2000'!#REF!</definedName>
    <definedName name="SalesAnalysis.Budget" localSheetId="7">'IS Rolling 4 Qtr Q4-FY 2000'!#REF!</definedName>
    <definedName name="SalesAnalysis.Budget" localSheetId="8">'IS Year by Per FY2000'!#REF!</definedName>
    <definedName name="SalesAnalysis.Budget" localSheetId="9">'IS Year by Qtr FY2000'!#REF!</definedName>
    <definedName name="SalesAnalysis.Budget" localSheetId="0">'TB Per. &amp; YTD Comp.  3-2000'!#REF!</definedName>
    <definedName name="SalesAnalysis.COS" localSheetId="1">'BS  3-2000'!#REF!</definedName>
    <definedName name="SalesAnalysis.COS" localSheetId="2">'BS &amp; PY Comp.  3-2000'!#REF!</definedName>
    <definedName name="SalesAnalysis.COS" localSheetId="3">'CF Per. &amp; YTD Comp. 3-2000'!#REF!</definedName>
    <definedName name="SalesAnalysis.COS" localSheetId="4">'CF Rolling 12 Per. 3-2000'!#REF!</definedName>
    <definedName name="SalesAnalysis.COS" localSheetId="5">'IS Per. &amp; YTD Comp 3-2000'!#REF!</definedName>
    <definedName name="SalesAnalysis.COS" localSheetId="6">'IS Rolling 12 Per 3-2000'!#REF!</definedName>
    <definedName name="SalesAnalysis.COS" localSheetId="7">'IS Rolling 4 Qtr Q4-FY 2000'!#REF!</definedName>
    <definedName name="SalesAnalysis.COS" localSheetId="8">'IS Year by Per FY2000'!#REF!</definedName>
    <definedName name="SalesAnalysis.COS" localSheetId="9">'IS Year by Qtr FY2000'!#REF!</definedName>
    <definedName name="SalesAnalysis.COS" localSheetId="0">'TB Per. &amp; YTD Comp.  3-2000'!#REF!</definedName>
    <definedName name="SalesAnalysis.GP" localSheetId="1">'BS  3-2000'!#REF!</definedName>
    <definedName name="SalesAnalysis.GP" localSheetId="2">'BS &amp; PY Comp.  3-2000'!#REF!</definedName>
    <definedName name="SalesAnalysis.GP" localSheetId="3">'CF Per. &amp; YTD Comp. 3-2000'!#REF!</definedName>
    <definedName name="SalesAnalysis.GP" localSheetId="4">'CF Rolling 12 Per. 3-2000'!#REF!</definedName>
    <definedName name="SalesAnalysis.GP" localSheetId="5">'IS Per. &amp; YTD Comp 3-2000'!#REF!</definedName>
    <definedName name="SalesAnalysis.GP" localSheetId="6">'IS Rolling 12 Per 3-2000'!#REF!</definedName>
    <definedName name="SalesAnalysis.GP" localSheetId="7">'IS Rolling 4 Qtr Q4-FY 2000'!#REF!</definedName>
    <definedName name="SalesAnalysis.GP" localSheetId="8">'IS Year by Per FY2000'!#REF!</definedName>
    <definedName name="SalesAnalysis.GP" localSheetId="9">'IS Year by Qtr FY2000'!#REF!</definedName>
    <definedName name="SalesAnalysis.GP" localSheetId="0">'TB Per. &amp; YTD Comp.  3-2000'!#REF!</definedName>
    <definedName name="SalesAnalysis.Sales" localSheetId="1">'BS  3-2000'!#REF!</definedName>
    <definedName name="SalesAnalysis.Sales" localSheetId="2">'BS &amp; PY Comp.  3-2000'!#REF!</definedName>
    <definedName name="SalesAnalysis.Sales" localSheetId="3">'CF Per. &amp; YTD Comp. 3-2000'!#REF!</definedName>
    <definedName name="SalesAnalysis.Sales" localSheetId="4">'CF Rolling 12 Per. 3-2000'!#REF!</definedName>
    <definedName name="SalesAnalysis.Sales" localSheetId="5">'IS Per. &amp; YTD Comp 3-2000'!#REF!</definedName>
    <definedName name="SalesAnalysis.Sales" localSheetId="6">'IS Rolling 12 Per 3-2000'!#REF!</definedName>
    <definedName name="SalesAnalysis.Sales" localSheetId="7">'IS Rolling 4 Qtr Q4-FY 2000'!#REF!</definedName>
    <definedName name="SalesAnalysis.Sales" localSheetId="8">'IS Year by Per FY2000'!#REF!</definedName>
    <definedName name="SalesAnalysis.Sales" localSheetId="9">'IS Year by Qtr FY2000'!#REF!</definedName>
    <definedName name="SalesAnalysis.Sales" localSheetId="0">'TB Per. &amp; YTD Comp.  3-2000'!#REF!</definedName>
    <definedName name="ScenarioID.Array" localSheetId="1">'BS  3-2000'!#REF!</definedName>
    <definedName name="ScenarioID.Array" localSheetId="2">'BS &amp; PY Comp.  3-2000'!#REF!</definedName>
    <definedName name="ScenarioID.Array" localSheetId="3">'CF Per. &amp; YTD Comp. 3-2000'!#REF!</definedName>
    <definedName name="ScenarioID.Array" localSheetId="4">'CF Rolling 12 Per. 3-2000'!#REF!</definedName>
    <definedName name="ScenarioID.Array" localSheetId="11">'COSComp Chart 3-2000'!#REF!</definedName>
    <definedName name="ScenarioID.Array" localSheetId="5">'IS Per. &amp; YTD Comp 3-2000'!#REF!</definedName>
    <definedName name="ScenarioID.Array" localSheetId="6">'IS Rolling 12 Per 3-2000'!#REF!</definedName>
    <definedName name="ScenarioID.Array" localSheetId="7">'IS Rolling 4 Qtr Q4-FY 2000'!#REF!</definedName>
    <definedName name="ScenarioID.Array" localSheetId="8">'IS Year by Per FY2000'!#REF!</definedName>
    <definedName name="ScenarioID.Array" localSheetId="9">'IS Year by Qtr FY2000'!#REF!</definedName>
    <definedName name="ScenarioID.Array" localSheetId="10">'Ratio Rolling 12 Per  3-2000'!#REF!</definedName>
    <definedName name="ScenarioID.Array" localSheetId="12">'RevExp Chart 3-2000'!#REF!</definedName>
    <definedName name="ScenarioID.Array" localSheetId="0">'TB Per. &amp; YTD Comp.  3-2000'!#REF!</definedName>
    <definedName name="Select_Report" localSheetId="11">'COSComp Chart 3-2000'!Select_Report</definedName>
    <definedName name="Select_Report" localSheetId="10">'Ratio Rolling 12 Per  3-2000'!Select_Report</definedName>
    <definedName name="Select_Report" localSheetId="12">'RevExp Chart 3-2000'!Select_Report</definedName>
    <definedName name="Select_Report" localSheetId="0">'TB Per. &amp; YTD Comp.  3-2000'!Select_Report</definedName>
    <definedName name="Select_Report">[0]!Select_Report</definedName>
    <definedName name="SeriesDates" localSheetId="11">'COSComp Chart 3-2000'!#REF!</definedName>
    <definedName name="SeriesDates" localSheetId="12">'RevExp Chart 3-2000'!$B$6:$N$6</definedName>
    <definedName name="Sheet.Type" localSheetId="1">'BS  3-2000'!#REF!</definedName>
    <definedName name="Sheet.Type" localSheetId="2">'BS &amp; PY Comp.  3-2000'!#REF!</definedName>
    <definedName name="Sheet.Type" localSheetId="3">'CF Per. &amp; YTD Comp. 3-2000'!#REF!</definedName>
    <definedName name="Sheet.Type" localSheetId="4">'CF Rolling 12 Per. 3-2000'!#REF!</definedName>
    <definedName name="Sheet.Type" localSheetId="11">'COSComp Chart 3-2000'!#REF!</definedName>
    <definedName name="Sheet.Type" localSheetId="5">'IS Per. &amp; YTD Comp 3-2000'!#REF!</definedName>
    <definedName name="Sheet.Type" localSheetId="6">'IS Rolling 12 Per 3-2000'!#REF!</definedName>
    <definedName name="Sheet.Type" localSheetId="7">'IS Rolling 4 Qtr Q4-FY 2000'!#REF!</definedName>
    <definedName name="Sheet.Type" localSheetId="8">'IS Year by Per FY2000'!#REF!</definedName>
    <definedName name="Sheet.Type" localSheetId="9">'IS Year by Qtr FY2000'!#REF!</definedName>
    <definedName name="Sheet.Type" localSheetId="10">'Ratio Rolling 12 Per  3-2000'!#REF!</definedName>
    <definedName name="Sheet.Type" localSheetId="12">'RevExp Chart 3-2000'!#REF!</definedName>
    <definedName name="Sheet.Type" localSheetId="0">'TB Per. &amp; YTD Comp.  3-2000'!#REF!</definedName>
    <definedName name="STD" localSheetId="10">'Ratio Rolling 12 Per  3-2000'!$D$29:$O$29</definedName>
    <definedName name="TA" localSheetId="10">'Ratio Rolling 12 Per  3-2000'!$D$43:$O$43</definedName>
    <definedName name="TL" localSheetId="10">'Ratio Rolling 12 Per  3-2000'!$D$41:$O$41</definedName>
    <definedName name="Use.COS" localSheetId="11">'COSComp Chart 3-2000'!#REF!</definedName>
    <definedName name="Use.GP" localSheetId="11">'COSComp Chart 3-2000'!#REF!</definedName>
    <definedName name="Use.Sales" localSheetId="11">'COSComp Chart 3-2000'!#REF!</definedName>
    <definedName name="Value.Period" localSheetId="1">'BS  3-2000'!#REF!</definedName>
    <definedName name="Value.Period" localSheetId="2">'BS &amp; PY Comp.  3-2000'!#REF!</definedName>
    <definedName name="Value.Period" localSheetId="3">'CF Per. &amp; YTD Comp. 3-2000'!#REF!</definedName>
    <definedName name="Value.Period" localSheetId="4">'CF Rolling 12 Per. 3-2000'!#REF!</definedName>
    <definedName name="Value.Period" localSheetId="11">'COSComp Chart 3-2000'!#REF!</definedName>
    <definedName name="Value.Period" localSheetId="5">'IS Per. &amp; YTD Comp 3-2000'!#REF!</definedName>
    <definedName name="Value.Period" localSheetId="6">'IS Rolling 12 Per 3-2000'!#REF!</definedName>
    <definedName name="Value.Period" localSheetId="7">'IS Rolling 4 Qtr Q4-FY 2000'!#REF!</definedName>
    <definedName name="Value.Period" localSheetId="8">'IS Year by Per FY2000'!#REF!</definedName>
    <definedName name="Value.Period" localSheetId="9">'IS Year by Qtr FY2000'!#REF!</definedName>
    <definedName name="Value.Period" localSheetId="12">'RevExp Chart 3-2000'!#REF!</definedName>
    <definedName name="Value.Period" localSheetId="0">'TB Per. &amp; YTD Comp.  3-2000'!#REF!</definedName>
    <definedName name="Value.Scope" localSheetId="1">'BS  3-2000'!#REF!</definedName>
    <definedName name="Value.Scope" localSheetId="2">'BS &amp; PY Comp.  3-2000'!#REF!</definedName>
    <definedName name="Value.Scope" localSheetId="3">'CF Per. &amp; YTD Comp. 3-2000'!#REF!</definedName>
    <definedName name="Value.Scope" localSheetId="4">'CF Rolling 12 Per. 3-2000'!#REF!</definedName>
    <definedName name="Value.Scope" localSheetId="11">'COSComp Chart 3-2000'!#REF!</definedName>
    <definedName name="Value.Scope" localSheetId="5">'IS Per. &amp; YTD Comp 3-2000'!#REF!</definedName>
    <definedName name="Value.Scope" localSheetId="6">'IS Rolling 12 Per 3-2000'!#REF!</definedName>
    <definedName name="Value.Scope" localSheetId="7">'IS Rolling 4 Qtr Q4-FY 2000'!#REF!</definedName>
    <definedName name="Value.Scope" localSheetId="8">'IS Year by Per FY2000'!#REF!</definedName>
    <definedName name="Value.Scope" localSheetId="9">'IS Year by Qtr FY2000'!#REF!</definedName>
    <definedName name="Value.Scope" localSheetId="12">'RevExp Chart 3-2000'!#REF!</definedName>
    <definedName name="Value.Scope" localSheetId="0">'TB Per. &amp; YTD Comp.  3-2000'!#REF!</definedName>
    <definedName name="Value.Year" localSheetId="1">'BS  3-2000'!#REF!</definedName>
    <definedName name="Value.Year" localSheetId="2">'BS &amp; PY Comp.  3-2000'!#REF!</definedName>
    <definedName name="Value.Year" localSheetId="3">'CF Per. &amp; YTD Comp. 3-2000'!#REF!</definedName>
    <definedName name="Value.Year" localSheetId="4">'CF Rolling 12 Per. 3-2000'!#REF!</definedName>
    <definedName name="Value.Year" localSheetId="11">'COSComp Chart 3-2000'!#REF!</definedName>
    <definedName name="Value.Year" localSheetId="5">'IS Per. &amp; YTD Comp 3-2000'!#REF!</definedName>
    <definedName name="Value.Year" localSheetId="6">'IS Rolling 12 Per 3-2000'!#REF!</definedName>
    <definedName name="Value.Year" localSheetId="7">'IS Rolling 4 Qtr Q4-FY 2000'!#REF!</definedName>
    <definedName name="Value.Year" localSheetId="8">'IS Year by Per FY2000'!#REF!</definedName>
    <definedName name="Value.Year" localSheetId="9">'IS Year by Qtr FY2000'!#REF!</definedName>
    <definedName name="Value.Year" localSheetId="12">'RevExp Chart 3-2000'!#REF!</definedName>
    <definedName name="Value.Year" localSheetId="0">'TB Per. &amp; YTD Comp.  3-2000'!#REF!</definedName>
    <definedName name="Values.Rows" localSheetId="10">'Ratio Rolling 12 Per  3-2000'!$5:$34</definedName>
    <definedName name="WC" localSheetId="10">'Ratio Rolling 12 Per  3-2000'!$D$42:$O$42</definedName>
    <definedName name="YTD" localSheetId="1">'BS  3-2000'!#REF!</definedName>
    <definedName name="YTD" localSheetId="2">'BS &amp; PY Comp.  3-2000'!#REF!</definedName>
    <definedName name="YTD" localSheetId="3">'CF Per. &amp; YTD Comp. 3-2000'!#REF!</definedName>
    <definedName name="YTD" localSheetId="4">'CF Rolling 12 Per. 3-2000'!#REF!</definedName>
    <definedName name="YTD" localSheetId="11">'COSComp Chart 3-2000'!#REF!</definedName>
    <definedName name="YTD" localSheetId="5">'IS Per. &amp; YTD Comp 3-2000'!#REF!</definedName>
    <definedName name="YTD" localSheetId="6">'IS Rolling 12 Per 3-2000'!#REF!</definedName>
    <definedName name="YTD" localSheetId="7">'IS Rolling 4 Qtr Q4-FY 2000'!#REF!</definedName>
    <definedName name="YTD" localSheetId="8">'IS Year by Per FY2000'!#REF!</definedName>
    <definedName name="YTD" localSheetId="9">'IS Year by Qtr FY2000'!#REF!</definedName>
    <definedName name="YTD" localSheetId="12">'RevExp Chart 3-2000'!#REF!</definedName>
    <definedName name="YTD" localSheetId="0">'TB Per. &amp; YTD Comp.  3-2000'!#REF!</definedName>
  </definedNames>
  <calcPr fullCalcOnLoad="1"/>
</workbook>
</file>

<file path=xl/comments11.xml><?xml version="1.0" encoding="utf-8"?>
<comments xmlns="http://schemas.openxmlformats.org/spreadsheetml/2006/main">
  <authors>
    <author>A satisfied Microsoft Office user</author>
    <author>Frank Vickers</author>
  </authors>
  <commentList>
    <comment ref="B60" authorId="0">
      <text>
        <r>
          <rPr>
            <sz val="7"/>
            <rFont val="Tahoma"/>
            <family val="0"/>
          </rPr>
          <t xml:space="preserve">The Altman Z Score shows a combination of five different ratios, with each ratio assigned a different weighting as of the report date.
</t>
        </r>
      </text>
    </comment>
    <comment ref="B62" authorId="0">
      <text>
        <r>
          <rPr>
            <sz val="7"/>
            <rFont val="Tahoma"/>
            <family val="0"/>
          </rPr>
          <t>The Current Ratio shows a ratio of current assets to current liabilities as of the report date.</t>
        </r>
      </text>
    </comment>
    <comment ref="B63" authorId="0">
      <text>
        <r>
          <rPr>
            <sz val="7"/>
            <rFont val="Tahoma"/>
            <family val="0"/>
          </rPr>
          <t xml:space="preserve">The Gross Margin Percentage ratio indicates what percentage of each dollar of sales is left over after paying the costs of sales amount for the period. </t>
        </r>
      </text>
    </comment>
    <comment ref="B65" authorId="0">
      <text>
        <r>
          <rPr>
            <sz val="7"/>
            <rFont val="Tahoma"/>
            <family val="0"/>
          </rPr>
          <t>The Days Sales in AR shows a ratio indicates how long it takes a business to collect receivables from its customers for the period.</t>
        </r>
      </text>
    </comment>
    <comment ref="B66" authorId="0">
      <text>
        <r>
          <rPr>
            <sz val="7"/>
            <rFont val="Tahoma"/>
            <family val="0"/>
          </rPr>
          <t>The Allowance for Bad Debt as % of AR shows what percentage of the accounts receivable balance is considered un-collectible as of the report date.</t>
        </r>
      </text>
    </comment>
    <comment ref="B67" authorId="0">
      <text>
        <r>
          <rPr>
            <sz val="7"/>
            <rFont val="Tahoma"/>
            <family val="0"/>
          </rPr>
          <t>The Bad Debt Expense as % of Net Revenues shows what percentage of revenues is considered un-collectible for the period.</t>
        </r>
      </text>
    </comment>
    <comment ref="B68" authorId="0">
      <text>
        <r>
          <rPr>
            <sz val="7"/>
            <rFont val="Tahoma"/>
            <family val="0"/>
          </rPr>
          <t>The Inventory Turnover indicates how quickly a business sells its inventory by comparing the inventory balance to the cost of goods sold expense for the period, on an annualized basis.</t>
        </r>
      </text>
    </comment>
    <comment ref="B69" authorId="0">
      <text>
        <r>
          <rPr>
            <sz val="7"/>
            <rFont val="Tahoma"/>
            <family val="0"/>
          </rPr>
          <t>The Days Inventory shows a ratio indicating how many days a business could continue selling using only its existing inventory as of the report date.</t>
        </r>
      </text>
    </comment>
    <comment ref="B70" authorId="0">
      <text>
        <r>
          <rPr>
            <sz val="7"/>
            <rFont val="Tahoma"/>
            <family val="0"/>
          </rPr>
          <t xml:space="preserve">The Net Sales to Inventory ratio indicates the size of annual net sales relative to inventory for the period, on an annualized basis. </t>
        </r>
      </text>
    </comment>
    <comment ref="B71" authorId="0">
      <text>
        <r>
          <rPr>
            <sz val="7"/>
            <rFont val="Tahoma"/>
            <family val="0"/>
          </rPr>
          <t>The Days Purchases in AP  ratio indicates the size of accounts payable relative to cost of sales for the period.</t>
        </r>
      </text>
    </comment>
    <comment ref="B72" authorId="0">
      <text>
        <r>
          <rPr>
            <sz val="7"/>
            <rFont val="Tahoma"/>
            <family val="0"/>
          </rPr>
          <t xml:space="preserve">The Net Sales to Working Capital ratio indicates the size of annual net sales relative to working capital (current assets minus current liabilities) for the period, on an annualized basis. </t>
        </r>
      </text>
    </comment>
    <comment ref="B73" authorId="0">
      <text>
        <r>
          <rPr>
            <sz val="7"/>
            <rFont val="Tahoma"/>
            <family val="0"/>
          </rPr>
          <t>The Total Assets to Net Sales ratio indicates how many dollars of assets are required to produce a dollar of sales for the period, on an annualized basis.</t>
        </r>
      </text>
    </comment>
    <comment ref="B74" authorId="0">
      <text>
        <r>
          <rPr>
            <sz val="7"/>
            <rFont val="Tahoma"/>
            <family val="0"/>
          </rPr>
          <t>The Net Sales to AR ratio indicates the size of the annual net sales relative to accounts receivable for the period, on an annualized basis.</t>
        </r>
      </text>
    </comment>
    <comment ref="B75" authorId="0">
      <text>
        <r>
          <rPr>
            <sz val="7"/>
            <rFont val="Tahoma"/>
            <family val="0"/>
          </rPr>
          <t>The Net Sales to Net Fixed Assets ratio indicates the size of the annual net sales relative to net fixed assets for the period, on an annualized basis.</t>
        </r>
      </text>
    </comment>
    <comment ref="B76" authorId="0">
      <text>
        <r>
          <rPr>
            <sz val="7"/>
            <rFont val="Tahoma"/>
            <family val="0"/>
          </rPr>
          <t xml:space="preserve">The Net Sales to Total Assets ratio indicates the size of the annual net sales relative to total assets for the period, on an annualized basis. </t>
        </r>
      </text>
    </comment>
    <comment ref="B77" authorId="0">
      <text>
        <r>
          <rPr>
            <sz val="7"/>
            <rFont val="Tahoma"/>
            <family val="0"/>
          </rPr>
          <t xml:space="preserve">The Net Sales to Net Worth ratio indicates the size of the net sales relative to net worth (total assets minus total liabilities) for the period, on an annualized basis. </t>
        </r>
      </text>
    </comment>
    <comment ref="B78" authorId="0">
      <text>
        <r>
          <rPr>
            <sz val="7"/>
            <rFont val="Tahoma"/>
            <family val="0"/>
          </rPr>
          <t>The Amortization and Depreciation Expense to Net Sales ratio indicates what percentage of each dollar of sales pays non-cash expenses such as amortization expense of intangible assets, copyrights and patents, and depreciation expense of fixed assets for the period.</t>
        </r>
      </text>
    </comment>
    <comment ref="B80" authorId="0">
      <text>
        <r>
          <rPr>
            <sz val="7"/>
            <rFont val="Tahoma"/>
            <family val="0"/>
          </rPr>
          <t xml:space="preserve">The Gross Profit Percentage ratio indicates what percentage of each dollar of sales is left over after paying the costs of sales amount for the period. </t>
        </r>
      </text>
    </comment>
    <comment ref="B81" authorId="0">
      <text>
        <r>
          <rPr>
            <sz val="7"/>
            <rFont val="Tahoma"/>
            <family val="0"/>
          </rPr>
          <t>The Operating Expenses as % of Net Sales ratio indicates what percentage of each of sales goes to pay operating expenses for the period.</t>
        </r>
      </text>
    </comment>
    <comment ref="B82" authorId="0">
      <text>
        <r>
          <rPr>
            <sz val="7"/>
            <rFont val="Tahoma"/>
            <family val="0"/>
          </rPr>
          <t xml:space="preserve">The Return on Total Assets ratio indicates the size of net income after taxes relative to a firm’s total assets for the period, on an annualized basis. </t>
        </r>
      </text>
    </comment>
    <comment ref="B83" authorId="0">
      <text>
        <r>
          <rPr>
            <sz val="7"/>
            <rFont val="Tahoma"/>
            <family val="0"/>
          </rPr>
          <t>The Return on Net Worth ratio indicates the size of net income after taxes relative to a firm’s net worth (total assets minus total liabilities) for the period, on an annualized basis.</t>
        </r>
      </text>
    </comment>
    <comment ref="B84" authorId="0">
      <text>
        <r>
          <rPr>
            <sz val="7"/>
            <rFont val="Tahoma"/>
            <family val="0"/>
          </rPr>
          <t>The Return on Net Sales ratio indicates what percentage of each dollar of sales actually ends up as profit for the period.</t>
        </r>
      </text>
    </comment>
    <comment ref="B85" authorId="0">
      <text>
        <r>
          <rPr>
            <sz val="7"/>
            <rFont val="Tahoma"/>
            <family val="0"/>
          </rPr>
          <t xml:space="preserve">The Income before tax to Net Worth ratio indicates the size of net income before taxes relative to a firms’ net worth (total assets minus total liabilities) for the period, on an annualized basis. </t>
        </r>
      </text>
    </comment>
    <comment ref="B86" authorId="0">
      <text>
        <r>
          <rPr>
            <sz val="7"/>
            <rFont val="Tahoma"/>
            <family val="0"/>
          </rPr>
          <t xml:space="preserve">The Income before tax to Total Assets ratio indicates the size of net income before taxes relative to a firms’ total assets for the period, on an annualized basis. </t>
        </r>
      </text>
    </comment>
    <comment ref="B87" authorId="0">
      <text>
        <r>
          <rPr>
            <sz val="7"/>
            <rFont val="Tahoma"/>
            <family val="0"/>
          </rPr>
          <t>The Retained Earnings to Net Income ratio indicates the size of retained earning to net income for the period, on an annualized basis.</t>
        </r>
      </text>
    </comment>
    <comment ref="B89" authorId="0">
      <text>
        <r>
          <rPr>
            <sz val="7"/>
            <rFont val="Tahoma"/>
            <family val="0"/>
          </rPr>
          <t xml:space="preserve">The Times Interest Earnged ratio indicates the size of a firm’s interest expense relative to its operating profits for the period, on an annualized basis. </t>
        </r>
      </text>
    </comment>
    <comment ref="B90" authorId="0">
      <text>
        <r>
          <rPr>
            <sz val="7"/>
            <rFont val="Tahoma"/>
            <family val="0"/>
          </rPr>
          <t xml:space="preserve">The Interest Expense to Net Sales ratio indicates what percentage of a firm’s net sales goes to pay interest expense on its debts for the period. </t>
        </r>
      </text>
    </comment>
    <comment ref="B91" authorId="0">
      <text>
        <r>
          <rPr>
            <sz val="7"/>
            <rFont val="Tahoma"/>
            <family val="0"/>
          </rPr>
          <t>The Current Liabilities to Net Worth ratio indicates the size of firms’ current liabilities relative to its net worth (total assets minus total liabilities) as of the report date.</t>
        </r>
      </text>
    </comment>
    <comment ref="B92" authorId="0">
      <text>
        <r>
          <rPr>
            <sz val="7"/>
            <rFont val="Tahoma"/>
            <family val="0"/>
          </rPr>
          <t>The Current Liabilities to Inventory ratio indicates the size of a firms’ current liabilities relative to its inventory as of the report date.</t>
        </r>
      </text>
    </comment>
    <comment ref="B93" authorId="0">
      <text>
        <r>
          <rPr>
            <sz val="7"/>
            <rFont val="Tahoma"/>
            <family val="0"/>
          </rPr>
          <t>The AP to Net Sales ratio indicates the size of a firms’ accounts payable relative to its sales revenue for the period, on an annualized basis.</t>
        </r>
      </text>
    </comment>
    <comment ref="B94" authorId="0">
      <text>
        <r>
          <rPr>
            <sz val="7"/>
            <rFont val="Tahoma"/>
            <family val="0"/>
          </rPr>
          <t>The Total Liabilities to Net Worth ratio indicates the size of firms’ total liabilities relative to its net worth as of the report date.</t>
        </r>
      </text>
    </comment>
    <comment ref="B95" authorId="0">
      <text>
        <r>
          <rPr>
            <sz val="7"/>
            <rFont val="Tahoma"/>
            <family val="0"/>
          </rPr>
          <t xml:space="preserve">The Net Worth to Total Liabilities ratio indicates the size of firms’ net worth relative to its total liabilities as of the report date. </t>
        </r>
      </text>
    </comment>
    <comment ref="E55" authorId="1">
      <text>
        <r>
          <rPr>
            <b/>
            <sz val="8"/>
            <rFont val="Tahoma"/>
            <family val="0"/>
          </rPr>
          <t>Unhide Columns and Rows. Have Fun!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<sst xmlns="http://schemas.openxmlformats.org/spreadsheetml/2006/main" count="881" uniqueCount="313">
  <si>
    <t>Date:</t>
  </si>
  <si>
    <t>Opening Balance</t>
  </si>
  <si>
    <t>Current Period</t>
  </si>
  <si>
    <t>Account</t>
  </si>
  <si>
    <t>Description</t>
  </si>
  <si>
    <t>This Year</t>
  </si>
  <si>
    <t>YTD Debits</t>
  </si>
  <si>
    <t>YTD Credits</t>
  </si>
  <si>
    <t>YTD Movement</t>
  </si>
  <si>
    <t>This Period</t>
  </si>
  <si>
    <t>Debits</t>
  </si>
  <si>
    <t>Credits</t>
  </si>
  <si>
    <t>Movement</t>
  </si>
  <si>
    <t>Closing Balance</t>
  </si>
  <si>
    <t>ASSETS</t>
  </si>
  <si>
    <t>Current Assets</t>
  </si>
  <si>
    <t>1000</t>
  </si>
  <si>
    <t>Cash and equivalents</t>
  </si>
  <si>
    <t>1100</t>
  </si>
  <si>
    <t>A/R - trade</t>
  </si>
  <si>
    <t>1110</t>
  </si>
  <si>
    <t>A/R - other</t>
  </si>
  <si>
    <t>1199</t>
  </si>
  <si>
    <t>Allowance for bad debts</t>
  </si>
  <si>
    <t>1200</t>
  </si>
  <si>
    <t>Inventory</t>
  </si>
  <si>
    <t>1900</t>
  </si>
  <si>
    <t>Other current assets</t>
  </si>
  <si>
    <t>Total</t>
  </si>
  <si>
    <t>Other Assets</t>
  </si>
  <si>
    <t>2000</t>
  </si>
  <si>
    <t>Fixed assets</t>
  </si>
  <si>
    <t>2100</t>
  </si>
  <si>
    <t>Accumulated depreciation</t>
  </si>
  <si>
    <t>2900</t>
  </si>
  <si>
    <t>Other assets</t>
  </si>
  <si>
    <t>TOTAL ASSETS</t>
  </si>
  <si>
    <t>LIABILITIES &amp; OWNERS' EQUITY</t>
  </si>
  <si>
    <t>Current Liabilities</t>
  </si>
  <si>
    <t>3000</t>
  </si>
  <si>
    <t>Accounts payable</t>
  </si>
  <si>
    <t>3100</t>
  </si>
  <si>
    <t>Accrued payroll</t>
  </si>
  <si>
    <t>3400</t>
  </si>
  <si>
    <t>Other current liabilities</t>
  </si>
  <si>
    <t>Other Liabilities</t>
  </si>
  <si>
    <t>3500</t>
  </si>
  <si>
    <t>Long-term notes</t>
  </si>
  <si>
    <t>3900</t>
  </si>
  <si>
    <t>Other liabilities</t>
  </si>
  <si>
    <t>TOTAL LIABILITIES</t>
  </si>
  <si>
    <t>Owners' Equity</t>
  </si>
  <si>
    <t>4000</t>
  </si>
  <si>
    <t>Capital stock</t>
  </si>
  <si>
    <t>4500</t>
  </si>
  <si>
    <t>Retained earnings</t>
  </si>
  <si>
    <t>Revenue</t>
  </si>
  <si>
    <t>5000</t>
  </si>
  <si>
    <t>In Store sales</t>
  </si>
  <si>
    <t>5200</t>
  </si>
  <si>
    <t>Catalog sales</t>
  </si>
  <si>
    <t>5800</t>
  </si>
  <si>
    <t>Consulting sales</t>
  </si>
  <si>
    <t>5900</t>
  </si>
  <si>
    <t>Other revenue</t>
  </si>
  <si>
    <t>Direct Expense</t>
  </si>
  <si>
    <t>6000</t>
  </si>
  <si>
    <t>Direct material</t>
  </si>
  <si>
    <t>6100</t>
  </si>
  <si>
    <t>Direct labor</t>
  </si>
  <si>
    <t>6200</t>
  </si>
  <si>
    <t>Other direct cost</t>
  </si>
  <si>
    <t>6900</t>
  </si>
  <si>
    <t>Sales and marketing</t>
  </si>
  <si>
    <t>Gross Profit</t>
  </si>
  <si>
    <t>Indirect Expense</t>
  </si>
  <si>
    <t>5100</t>
  </si>
  <si>
    <t>Telephone sales</t>
  </si>
  <si>
    <t>7000</t>
  </si>
  <si>
    <t>Accounting and legal</t>
  </si>
  <si>
    <t>7100</t>
  </si>
  <si>
    <t>Communication &amp; telephone</t>
  </si>
  <si>
    <t>7200</t>
  </si>
  <si>
    <t>Deprec &amp; amortization</t>
  </si>
  <si>
    <t>7300</t>
  </si>
  <si>
    <t>Facilites and rent</t>
  </si>
  <si>
    <t>7500</t>
  </si>
  <si>
    <t>Office expense &amp; misc</t>
  </si>
  <si>
    <t>7600</t>
  </si>
  <si>
    <t>Salaries</t>
  </si>
  <si>
    <t>7700</t>
  </si>
  <si>
    <t>Taxes - business</t>
  </si>
  <si>
    <t>7800</t>
  </si>
  <si>
    <t>Bad debt expense</t>
  </si>
  <si>
    <t>7400</t>
  </si>
  <si>
    <t>Interest expense</t>
  </si>
  <si>
    <t>9990</t>
  </si>
  <si>
    <t>Income taxes</t>
  </si>
  <si>
    <t>Net Loss (Profit)</t>
  </si>
  <si>
    <t>TOTAL LIABILITIES &amp; OWNERS' EQUITY</t>
  </si>
  <si>
    <t xml:space="preserve"> </t>
  </si>
  <si>
    <t>Net Income</t>
  </si>
  <si>
    <t>Change</t>
  </si>
  <si>
    <t>Current
Change</t>
  </si>
  <si>
    <t>YTD
March 2000</t>
  </si>
  <si>
    <t>YTD
March 1999</t>
  </si>
  <si>
    <t>YTD
Change</t>
  </si>
  <si>
    <t>Cash Flow From Operations</t>
  </si>
  <si>
    <t>0</t>
  </si>
  <si>
    <t>Net change in Accounts receivable - trade</t>
  </si>
  <si>
    <t>Net change in Accounts receivable - other</t>
  </si>
  <si>
    <t>Net change in Allowance for bad debts</t>
  </si>
  <si>
    <t>Net change in Inventory</t>
  </si>
  <si>
    <t>Net change in Other current assets</t>
  </si>
  <si>
    <t>Net change in Accounts payable</t>
  </si>
  <si>
    <t>Net change in Accrued payroll</t>
  </si>
  <si>
    <t>Net change in Other current liabilities</t>
  </si>
  <si>
    <t xml:space="preserve">Total </t>
  </si>
  <si>
    <t>Cash Flow From Investments</t>
  </si>
  <si>
    <t>Increases in Other assets</t>
  </si>
  <si>
    <t>Decreases in Fixed assets</t>
  </si>
  <si>
    <t>Decreases in Accumulated depreciation</t>
  </si>
  <si>
    <t>Cash Flow From Financing</t>
  </si>
  <si>
    <t>Increases in Long-term notes</t>
  </si>
  <si>
    <t>Increases in Other liabilities</t>
  </si>
  <si>
    <t>Increases in Capital stock</t>
  </si>
  <si>
    <t>Total Cash Flow</t>
  </si>
  <si>
    <t>April 1999 - March 2000</t>
  </si>
  <si>
    <t>Quarter 1, FY2000</t>
  </si>
  <si>
    <t>Quarter 2, FY2000</t>
  </si>
  <si>
    <t>Quarter 3, FY2000</t>
  </si>
  <si>
    <t>Quarter 4, FY2000</t>
  </si>
  <si>
    <t>Variance</t>
  </si>
  <si>
    <t>% Chg</t>
  </si>
  <si>
    <t>Cost of Sales</t>
  </si>
  <si>
    <t>Operating Expenses</t>
  </si>
  <si>
    <t>Communications and telephone</t>
  </si>
  <si>
    <t>Depreciation and amortization</t>
  </si>
  <si>
    <t>Facilities and rent</t>
  </si>
  <si>
    <t>Office expense and miscellaneous</t>
  </si>
  <si>
    <t>Non-Operating Income</t>
  </si>
  <si>
    <t>N/A</t>
  </si>
  <si>
    <t>Not Available</t>
  </si>
  <si>
    <t>Non-Operating Expenses</t>
  </si>
  <si>
    <t>Net Income before Taxes</t>
  </si>
  <si>
    <t>Income Taxes</t>
  </si>
  <si>
    <t>Net Income after Taxes</t>
  </si>
  <si>
    <t>Q1 FY2000 - Q4 FY2000</t>
  </si>
  <si>
    <t>Q1, FY2000</t>
  </si>
  <si>
    <t>Q2, FY2000</t>
  </si>
  <si>
    <t>Q3, FY2000</t>
  </si>
  <si>
    <t>Q4, FY2000</t>
  </si>
  <si>
    <t>Fiscal Year 2000</t>
  </si>
  <si>
    <t>1) Link or enter your numbers here.</t>
  </si>
  <si>
    <t>2) Click on the Print Preview Button.</t>
  </si>
  <si>
    <t>FSIC</t>
  </si>
  <si>
    <t>Allowance for Bad Debt</t>
  </si>
  <si>
    <t>ABD</t>
  </si>
  <si>
    <t>Accumulated Depreciation</t>
  </si>
  <si>
    <t>AD</t>
  </si>
  <si>
    <t>Amortization and Depreciation Expense</t>
  </si>
  <si>
    <t>ADE</t>
  </si>
  <si>
    <t>Accounts Payable</t>
  </si>
  <si>
    <t>AP</t>
  </si>
  <si>
    <t>Accounts Receivable</t>
  </si>
  <si>
    <t>AR</t>
  </si>
  <si>
    <t>Bad Debt Expense</t>
  </si>
  <si>
    <t>BDE</t>
  </si>
  <si>
    <t>Cash &amp; Cash Equivalent</t>
  </si>
  <si>
    <t>CCE</t>
  </si>
  <si>
    <t>COS</t>
  </si>
  <si>
    <t>Equity</t>
  </si>
  <si>
    <t>EQ</t>
  </si>
  <si>
    <t>Interest Expense</t>
  </si>
  <si>
    <t>INT</t>
  </si>
  <si>
    <t>INV</t>
  </si>
  <si>
    <t>IT</t>
  </si>
  <si>
    <t>Long Term Debt</t>
  </si>
  <si>
    <t>LTD</t>
  </si>
  <si>
    <t>Net Sales</t>
  </si>
  <si>
    <t>NS</t>
  </si>
  <si>
    <t>Officers Compensation</t>
  </si>
  <si>
    <t>OC</t>
  </si>
  <si>
    <t>Other Current Assets</t>
  </si>
  <si>
    <t>OCA</t>
  </si>
  <si>
    <t>Other Current Liabilities</t>
  </si>
  <si>
    <t>OCL</t>
  </si>
  <si>
    <t>Other Non-Current Assets</t>
  </si>
  <si>
    <t>ONCA</t>
  </si>
  <si>
    <t>Other Non-Current Liabilities</t>
  </si>
  <si>
    <t>ONCL</t>
  </si>
  <si>
    <t>Other Non-Operating Expense</t>
  </si>
  <si>
    <t>ONOE</t>
  </si>
  <si>
    <t>Other Non-Operating Income</t>
  </si>
  <si>
    <t>ONOI</t>
  </si>
  <si>
    <t>Other Operating Expense</t>
  </si>
  <si>
    <t>OOE</t>
  </si>
  <si>
    <t>Property, Plant, &amp; Equipment</t>
  </si>
  <si>
    <t>PPE</t>
  </si>
  <si>
    <t>Retained Earnings</t>
  </si>
  <si>
    <t>RE</t>
  </si>
  <si>
    <t>Short Term Debt</t>
  </si>
  <si>
    <t>STD</t>
  </si>
  <si>
    <t>Fiscal Year</t>
  </si>
  <si>
    <t>FY</t>
  </si>
  <si>
    <t>Period Number</t>
  </si>
  <si>
    <t>PN</t>
  </si>
  <si>
    <t>Period Index</t>
  </si>
  <si>
    <t>PI</t>
  </si>
  <si>
    <t>Days in Period</t>
  </si>
  <si>
    <t>DP</t>
  </si>
  <si>
    <t>Days in Year</t>
  </si>
  <si>
    <t>DY</t>
  </si>
  <si>
    <t>Period End</t>
  </si>
  <si>
    <t>ED</t>
  </si>
  <si>
    <t>CA</t>
  </si>
  <si>
    <t>CL</t>
  </si>
  <si>
    <t>Quick Assets</t>
  </si>
  <si>
    <t>QA</t>
  </si>
  <si>
    <t>Accounts Receivables Net</t>
  </si>
  <si>
    <t>ARN</t>
  </si>
  <si>
    <t>Net Worth</t>
  </si>
  <si>
    <t>NW</t>
  </si>
  <si>
    <t>Total Liabilities</t>
  </si>
  <si>
    <t>TL</t>
  </si>
  <si>
    <t>Working Capital</t>
  </si>
  <si>
    <t>WC</t>
  </si>
  <si>
    <t>Total Assets</t>
  </si>
  <si>
    <t>TA</t>
  </si>
  <si>
    <t>NI</t>
  </si>
  <si>
    <t>Income Before Tax</t>
  </si>
  <si>
    <t>IBT</t>
  </si>
  <si>
    <t>Fixed Assets</t>
  </si>
  <si>
    <t>FA</t>
  </si>
  <si>
    <t>OE</t>
  </si>
  <si>
    <t>Income Before Interest &amp; Taxes</t>
  </si>
  <si>
    <t>IBIT</t>
  </si>
  <si>
    <t>Net Fixed Assets to Net Worth</t>
  </si>
  <si>
    <t>Officers Compensation to Net Sales</t>
  </si>
  <si>
    <t>Apr 1999</t>
  </si>
  <si>
    <t>May 1999</t>
  </si>
  <si>
    <t>Jun 1999</t>
  </si>
  <si>
    <t>Jul 1999</t>
  </si>
  <si>
    <t>Aug 1999</t>
  </si>
  <si>
    <t>Sep 1999</t>
  </si>
  <si>
    <t>Oct 1999</t>
  </si>
  <si>
    <t>Nov 1999</t>
  </si>
  <si>
    <t>Dec 1999</t>
  </si>
  <si>
    <t>Jan 2000</t>
  </si>
  <si>
    <t>Feb 2000</t>
  </si>
  <si>
    <t>Mar 2000</t>
  </si>
  <si>
    <t>Net Sales to Net Capital Assets</t>
  </si>
  <si>
    <t>Financial Health Ratios</t>
  </si>
  <si>
    <t>Altman Z Score</t>
  </si>
  <si>
    <t>Liquidity Ratios</t>
  </si>
  <si>
    <t>Current Ratio</t>
  </si>
  <si>
    <t>Gross Margin Percentage</t>
  </si>
  <si>
    <t>Activity Ratios</t>
  </si>
  <si>
    <t>Days Sales in AR</t>
  </si>
  <si>
    <t>Allowance for Bad Debt as % of AR</t>
  </si>
  <si>
    <t>Bad Debt Expense as % of Net Revenues</t>
  </si>
  <si>
    <t>Inventory Turnover</t>
  </si>
  <si>
    <t>Days Inventory</t>
  </si>
  <si>
    <t>Net Sales to Inventory</t>
  </si>
  <si>
    <t>Days Purchases in AP</t>
  </si>
  <si>
    <t>Net Sales to Working Capital</t>
  </si>
  <si>
    <t>Total Assets to Net Sales</t>
  </si>
  <si>
    <t>Net Sales to AR</t>
  </si>
  <si>
    <t>Net Sales to Net Fixed Assets</t>
  </si>
  <si>
    <t>Net Sales to Total Assets</t>
  </si>
  <si>
    <t>Net Sales to Net Worth</t>
  </si>
  <si>
    <t>Amortization and Depreciation Expense to Net Sales</t>
  </si>
  <si>
    <t>Profitability Ratios</t>
  </si>
  <si>
    <t>Gross Profit Percentage</t>
  </si>
  <si>
    <t>Operating Expenses as % of Net Sales</t>
  </si>
  <si>
    <t>Return on Total Assets</t>
  </si>
  <si>
    <t>Return on Net Worth</t>
  </si>
  <si>
    <t>Return on Net Sales</t>
  </si>
  <si>
    <t>Income before tax to Net Worth</t>
  </si>
  <si>
    <t>Income before tax to Total Assets</t>
  </si>
  <si>
    <t>Retained Earning to Net Income</t>
  </si>
  <si>
    <t>Coverage Ratios</t>
  </si>
  <si>
    <t>Times Interest Earned</t>
  </si>
  <si>
    <t>Interest Expense to Net Sales</t>
  </si>
  <si>
    <t>Current Liabilities to Net Worth</t>
  </si>
  <si>
    <t>Current Liabilities to Inventory</t>
  </si>
  <si>
    <t>AP to Net Sales</t>
  </si>
  <si>
    <t>Total Liabilities to Net Worth</t>
  </si>
  <si>
    <t>Net Worth to Total Liabilities</t>
  </si>
  <si>
    <t>3) Copy the chart and alter the descriptions for additional views.</t>
  </si>
  <si>
    <t>NetAmount</t>
  </si>
  <si>
    <t>Product1</t>
  </si>
  <si>
    <t>Product2</t>
  </si>
  <si>
    <t>Product3</t>
  </si>
  <si>
    <t>Product4</t>
  </si>
  <si>
    <t>Product5</t>
  </si>
  <si>
    <t>Product6</t>
  </si>
  <si>
    <t>Product7</t>
  </si>
  <si>
    <t>Product8</t>
  </si>
  <si>
    <t>FirstOfDescription</t>
  </si>
  <si>
    <t>April 1999</t>
  </si>
  <si>
    <t>June 1999</t>
  </si>
  <si>
    <t>July 1999</t>
  </si>
  <si>
    <t>August 1999</t>
  </si>
  <si>
    <t>September 1999</t>
  </si>
  <si>
    <t>October 1999</t>
  </si>
  <si>
    <t>November 1999</t>
  </si>
  <si>
    <t>December 1999</t>
  </si>
  <si>
    <t>January 2000</t>
  </si>
  <si>
    <t>February 2000</t>
  </si>
  <si>
    <t>March 2000</t>
  </si>
  <si>
    <t>Total Operating Expense</t>
  </si>
  <si>
    <t>© Copyright, 2005-2006, Jaxworks, All Rights Reserved.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</si>
</sst>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00000"/>
    <numFmt numFmtId="174" formatCode="0.0"/>
    <numFmt numFmtId="175" formatCode="mmmm\ yyyy"/>
    <numFmt numFmtId="176" formatCode="dddd\,\ m/d/yy\ h:mm"/>
    <numFmt numFmtId="177" formatCode="0.0%"/>
    <numFmt numFmtId="178" formatCode="m/d"/>
    <numFmt numFmtId="179" formatCode="_(* #,##0.00_);_(* #,##0.00;_(* &quot;-&quot;??_);_(@_)"/>
    <numFmt numFmtId="180" formatCode="0.0%;\(0.0\)%"/>
    <numFmt numFmtId="181" formatCode="_0.0%;_(0.0\)%"/>
    <numFmt numFmtId="182" formatCode="m/d/yy\ h:mm\ AM/PM"/>
    <numFmt numFmtId="183" formatCode="&quot;$&quot;#,##0.00_);\(&quot;$&quot;#,##0.00\);"/>
    <numFmt numFmtId="184" formatCode="mmmm\-yy"/>
    <numFmt numFmtId="185" formatCode="&quot;$&quot;#,##0"/>
    <numFmt numFmtId="186" formatCode="0.0000%"/>
    <numFmt numFmtId="187" formatCode="&quot;$&quot;#,##0.00;[Red]&quot;$&quot;#,##0.00"/>
    <numFmt numFmtId="188" formatCode="&quot;$&quot;#,##0;[Red]&quot;$&quot;#,##0"/>
    <numFmt numFmtId="189" formatCode=";;;"/>
    <numFmt numFmtId="190" formatCode="General_)"/>
    <numFmt numFmtId="191" formatCode="_(* #,##0.000_);_(* \(#,##0.000\);_(* &quot;-&quot;??_);_(@_)"/>
    <numFmt numFmtId="192" formatCode="_(* #,##0.0000_);_(* \(#,##0.0000\);_(* &quot;-&quot;??_);_(@_)"/>
    <numFmt numFmtId="193" formatCode="_(* #,##0.0_);_(* \(#,##0.0\);_(* &quot;-&quot;??_);_(@_)"/>
    <numFmt numFmtId="194" formatCode="_(* #,##0_);_(* \(#,##0\);_(* &quot;-&quot;??_);_(@_)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mmmm\ yy"/>
    <numFmt numFmtId="202" formatCode="0.00%;\(0.00\)%"/>
    <numFmt numFmtId="203" formatCode="mmm\-yyyy"/>
    <numFmt numFmtId="204" formatCode="_(0.00%_);_(0.00%_);_(0.00%_);_(@_)"/>
    <numFmt numFmtId="205" formatCode="_(0.00_);_(0.00_);_(0.00_);_(@_)"/>
    <numFmt numFmtId="206" formatCode="_(0.00_);_(0.00\);_(0.00_);_(@_)"/>
    <numFmt numFmtId="207" formatCode="_(0.00____\);_(0.00_);_(0.00_);_(@_)"/>
    <numFmt numFmtId="208" formatCode="0.00%_);[Red]\(0.00%\)"/>
    <numFmt numFmtId="209" formatCode="0%_);[Red]\(0%\)"/>
    <numFmt numFmtId="210" formatCode="0_);[Red]\(0\)"/>
    <numFmt numFmtId="211" formatCode="[$£-809]#,##0;[Red]\-[$£-809]#,##0"/>
    <numFmt numFmtId="212" formatCode="[$$-409]#,##0.00_);[Red]\([$$-409]#,##0.00\)"/>
    <numFmt numFmtId="213" formatCode="[$$-409]#,##0.0_);[Red]\([$$-409]#,##0.0\)"/>
    <numFmt numFmtId="214" formatCode="[$$-409]#,##0_);[Red]\([$$-409]#,##0\)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.5"/>
      <color indexed="9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sz val="8.5"/>
      <name val="Arial"/>
      <family val="0"/>
    </font>
    <font>
      <b/>
      <sz val="8"/>
      <color indexed="9"/>
      <name val="Arial"/>
      <family val="2"/>
    </font>
    <font>
      <b/>
      <sz val="8.5"/>
      <color indexed="8"/>
      <name val="Arial"/>
      <family val="2"/>
    </font>
    <font>
      <sz val="9"/>
      <color indexed="8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7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1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46"/>
      <name val="Calibri"/>
      <family val="2"/>
    </font>
    <font>
      <sz val="11"/>
      <color indexed="4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26"/>
      <color indexed="16"/>
      <name val="Times New Roman"/>
      <family val="0"/>
    </font>
    <font>
      <b/>
      <sz val="20"/>
      <color indexed="8"/>
      <name val="Arial MT Black"/>
      <family val="0"/>
    </font>
    <font>
      <i/>
      <sz val="15"/>
      <color indexed="16"/>
      <name val="Times New Roman"/>
      <family val="0"/>
    </font>
    <font>
      <b/>
      <sz val="14"/>
      <color indexed="8"/>
      <name val="Times New Roman"/>
      <family val="0"/>
    </font>
    <font>
      <b/>
      <i/>
      <sz val="16"/>
      <color indexed="16"/>
      <name val="Times New Roman"/>
      <family val="0"/>
    </font>
    <font>
      <b/>
      <sz val="18"/>
      <color indexed="8"/>
      <name val="Arial MT Black"/>
      <family val="0"/>
    </font>
    <font>
      <sz val="8"/>
      <color indexed="8"/>
      <name val="Arial"/>
      <family val="0"/>
    </font>
    <font>
      <sz val="5.75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32"/>
        <bgColor indexed="8"/>
      </patternFill>
    </fill>
    <fill>
      <patternFill patternType="mediumGray">
        <bgColor indexed="32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43" fontId="4" fillId="0" borderId="3">
      <alignment/>
      <protection/>
    </xf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43" fontId="4" fillId="0" borderId="7">
      <alignment/>
      <protection/>
    </xf>
    <xf numFmtId="0" fontId="58" fillId="0" borderId="8" applyNumberFormat="0" applyFill="0" applyAlignment="0" applyProtection="0"/>
    <xf numFmtId="44" fontId="4" fillId="0" borderId="9">
      <alignment/>
      <protection/>
    </xf>
    <xf numFmtId="0" fontId="5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10" applyNumberFormat="0" applyFont="0" applyAlignment="0" applyProtection="0"/>
    <xf numFmtId="0" fontId="60" fillId="27" borderId="11" applyNumberFormat="0" applyAlignment="0" applyProtection="0"/>
    <xf numFmtId="9" fontId="0" fillId="0" borderId="0" applyFont="0" applyFill="0" applyBorder="0" applyAlignment="0" applyProtection="0"/>
    <xf numFmtId="209" fontId="8" fillId="33" borderId="12">
      <alignment/>
      <protection/>
    </xf>
    <xf numFmtId="208" fontId="8" fillId="0" borderId="12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3" applyNumberFormat="0" applyFill="0" applyAlignment="0" applyProtection="0"/>
    <xf numFmtId="37" fontId="6" fillId="34" borderId="14">
      <alignment/>
      <protection/>
    </xf>
    <xf numFmtId="38" fontId="7" fillId="35" borderId="15">
      <alignment/>
      <protection/>
    </xf>
    <xf numFmtId="0" fontId="6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5" fillId="0" borderId="0" xfId="59">
      <alignment/>
      <protection/>
    </xf>
    <xf numFmtId="0" fontId="5" fillId="0" borderId="0" xfId="59" applyFont="1">
      <alignment/>
      <protection/>
    </xf>
    <xf numFmtId="1" fontId="5" fillId="0" borderId="0" xfId="59" applyNumberFormat="1" applyFont="1">
      <alignment/>
      <protection/>
    </xf>
    <xf numFmtId="0" fontId="4" fillId="0" borderId="0" xfId="59" applyFont="1" applyAlignment="1">
      <alignment horizontal="centerContinuous"/>
      <protection/>
    </xf>
    <xf numFmtId="0" fontId="6" fillId="36" borderId="0" xfId="0" applyFont="1" applyFill="1" applyAlignment="1">
      <alignment horizontal="left"/>
    </xf>
    <xf numFmtId="175" fontId="8" fillId="0" borderId="16" xfId="0" applyNumberFormat="1" applyFont="1" applyBorder="1" applyAlignment="1">
      <alignment horizontal="left"/>
    </xf>
    <xf numFmtId="0" fontId="6" fillId="37" borderId="0" xfId="0" applyFont="1" applyFill="1" applyAlignment="1">
      <alignment horizontal="left"/>
    </xf>
    <xf numFmtId="175" fontId="9" fillId="0" borderId="0" xfId="0" applyNumberFormat="1" applyFont="1" applyBorder="1" applyAlignment="1">
      <alignment horizontal="left"/>
    </xf>
    <xf numFmtId="6" fontId="6" fillId="38" borderId="17" xfId="0" applyNumberFormat="1" applyFont="1" applyFill="1" applyBorder="1" applyAlignment="1">
      <alignment horizontal="center" vertical="center"/>
    </xf>
    <xf numFmtId="6" fontId="6" fillId="39" borderId="17" xfId="0" applyNumberFormat="1" applyFont="1" applyFill="1" applyBorder="1" applyAlignment="1">
      <alignment horizontal="center" vertical="center"/>
    </xf>
    <xf numFmtId="17" fontId="6" fillId="39" borderId="17" xfId="0" applyNumberFormat="1" applyFont="1" applyFill="1" applyBorder="1" applyAlignment="1">
      <alignment horizontal="center"/>
    </xf>
    <xf numFmtId="0" fontId="6" fillId="36" borderId="18" xfId="0" applyFont="1" applyFill="1" applyBorder="1" applyAlignment="1">
      <alignment horizontal="left"/>
    </xf>
    <xf numFmtId="43" fontId="6" fillId="36" borderId="19" xfId="0" applyNumberFormat="1" applyFont="1" applyFill="1" applyBorder="1" applyAlignment="1">
      <alignment horizontal="right"/>
    </xf>
    <xf numFmtId="43" fontId="6" fillId="37" borderId="14" xfId="0" applyNumberFormat="1" applyFont="1" applyFill="1" applyBorder="1" applyAlignment="1">
      <alignment/>
    </xf>
    <xf numFmtId="0" fontId="10" fillId="36" borderId="0" xfId="0" applyFont="1" applyFill="1" applyAlignment="1">
      <alignment horizontal="left"/>
    </xf>
    <xf numFmtId="0" fontId="0" fillId="0" borderId="0" xfId="0" applyFont="1" applyAlignment="1">
      <alignment/>
    </xf>
    <xf numFmtId="0" fontId="5" fillId="0" borderId="0" xfId="58" applyFont="1">
      <alignment/>
      <protection/>
    </xf>
    <xf numFmtId="38" fontId="9" fillId="0" borderId="20" xfId="0" applyNumberFormat="1" applyFont="1" applyFill="1" applyBorder="1" applyAlignment="1">
      <alignment horizontal="left"/>
    </xf>
    <xf numFmtId="38" fontId="9" fillId="37" borderId="20" xfId="0" applyNumberFormat="1" applyFont="1" applyFill="1" applyBorder="1" applyAlignment="1">
      <alignment/>
    </xf>
    <xf numFmtId="38" fontId="9" fillId="37" borderId="21" xfId="0" applyNumberFormat="1" applyFont="1" applyFill="1" applyBorder="1" applyAlignment="1">
      <alignment/>
    </xf>
    <xf numFmtId="0" fontId="6" fillId="34" borderId="22" xfId="0" applyFont="1" applyFill="1" applyBorder="1" applyAlignment="1">
      <alignment horizontal="left"/>
    </xf>
    <xf numFmtId="43" fontId="6" fillId="34" borderId="14" xfId="0" applyNumberFormat="1" applyFont="1" applyFill="1" applyBorder="1" applyAlignment="1">
      <alignment horizontal="right"/>
    </xf>
    <xf numFmtId="37" fontId="6" fillId="34" borderId="14" xfId="67">
      <alignment/>
      <protection/>
    </xf>
    <xf numFmtId="0" fontId="11" fillId="37" borderId="23" xfId="0" applyFont="1" applyFill="1" applyBorder="1" applyAlignment="1">
      <alignment horizontal="left"/>
    </xf>
    <xf numFmtId="43" fontId="11" fillId="37" borderId="24" xfId="0" applyNumberFormat="1" applyFont="1" applyFill="1" applyBorder="1" applyAlignment="1">
      <alignment horizontal="right"/>
    </xf>
    <xf numFmtId="38" fontId="11" fillId="37" borderId="25" xfId="0" applyNumberFormat="1" applyFont="1" applyFill="1" applyBorder="1" applyAlignment="1">
      <alignment/>
    </xf>
    <xf numFmtId="38" fontId="5" fillId="0" borderId="0" xfId="59" applyNumberFormat="1" applyFont="1">
      <alignment/>
      <protection/>
    </xf>
    <xf numFmtId="0" fontId="6" fillId="36" borderId="23" xfId="0" applyFont="1" applyFill="1" applyBorder="1" applyAlignment="1">
      <alignment horizontal="left"/>
    </xf>
    <xf numFmtId="43" fontId="6" fillId="36" borderId="24" xfId="0" applyNumberFormat="1" applyFont="1" applyFill="1" applyBorder="1" applyAlignment="1">
      <alignment horizontal="right"/>
    </xf>
    <xf numFmtId="38" fontId="11" fillId="37" borderId="17" xfId="0" applyNumberFormat="1" applyFont="1" applyFill="1" applyBorder="1" applyAlignment="1">
      <alignment/>
    </xf>
    <xf numFmtId="43" fontId="6" fillId="36" borderId="17" xfId="0" applyNumberFormat="1" applyFont="1" applyFill="1" applyBorder="1" applyAlignment="1">
      <alignment horizontal="right"/>
    </xf>
    <xf numFmtId="38" fontId="9" fillId="35" borderId="20" xfId="0" applyNumberFormat="1" applyFont="1" applyFill="1" applyBorder="1" applyAlignment="1">
      <alignment horizontal="left"/>
    </xf>
    <xf numFmtId="38" fontId="9" fillId="35" borderId="26" xfId="0" applyNumberFormat="1" applyFont="1" applyFill="1" applyBorder="1" applyAlignment="1">
      <alignment horizontal="left"/>
    </xf>
    <xf numFmtId="38" fontId="9" fillId="35" borderId="20" xfId="0" applyNumberFormat="1" applyFont="1" applyFill="1" applyBorder="1" applyAlignment="1">
      <alignment/>
    </xf>
    <xf numFmtId="38" fontId="9" fillId="35" borderId="21" xfId="0" applyNumberFormat="1" applyFont="1" applyFill="1" applyBorder="1" applyAlignment="1">
      <alignment/>
    </xf>
    <xf numFmtId="0" fontId="7" fillId="35" borderId="17" xfId="0" applyFont="1" applyFill="1" applyBorder="1" applyAlignment="1">
      <alignment horizontal="left"/>
    </xf>
    <xf numFmtId="38" fontId="7" fillId="35" borderId="15" xfId="68" applyFill="1">
      <alignment/>
      <protection/>
    </xf>
    <xf numFmtId="1" fontId="4" fillId="0" borderId="0" xfId="59" applyNumberFormat="1" applyFont="1" applyAlignment="1">
      <alignment horizontal="centerContinuous"/>
      <protection/>
    </xf>
    <xf numFmtId="43" fontId="6" fillId="37" borderId="17" xfId="0" applyNumberFormat="1" applyFont="1" applyFill="1" applyBorder="1" applyAlignment="1">
      <alignment horizontal="center" wrapText="1"/>
    </xf>
    <xf numFmtId="0" fontId="5" fillId="37" borderId="0" xfId="59" applyFont="1" applyFill="1">
      <alignment/>
      <protection/>
    </xf>
    <xf numFmtId="0" fontId="6" fillId="40" borderId="17" xfId="0" applyFont="1" applyFill="1" applyBorder="1" applyAlignment="1">
      <alignment horizontal="center"/>
    </xf>
    <xf numFmtId="175" fontId="6" fillId="40" borderId="17" xfId="0" applyNumberFormat="1" applyFont="1" applyFill="1" applyBorder="1" applyAlignment="1">
      <alignment horizontal="center"/>
    </xf>
    <xf numFmtId="37" fontId="6" fillId="37" borderId="14" xfId="0" applyNumberFormat="1" applyFont="1" applyFill="1" applyBorder="1" applyAlignment="1">
      <alignment/>
    </xf>
    <xf numFmtId="37" fontId="5" fillId="0" borderId="0" xfId="59" applyNumberFormat="1" applyFont="1">
      <alignment/>
      <protection/>
    </xf>
    <xf numFmtId="38" fontId="7" fillId="35" borderId="20" xfId="0" applyNumberFormat="1" applyFont="1" applyFill="1" applyBorder="1" applyAlignment="1">
      <alignment horizontal="left"/>
    </xf>
    <xf numFmtId="38" fontId="7" fillId="35" borderId="26" xfId="0" applyNumberFormat="1" applyFont="1" applyFill="1" applyBorder="1" applyAlignment="1">
      <alignment horizontal="left"/>
    </xf>
    <xf numFmtId="38" fontId="7" fillId="35" borderId="21" xfId="0" applyNumberFormat="1" applyFont="1" applyFill="1" applyBorder="1" applyAlignment="1">
      <alignment/>
    </xf>
    <xf numFmtId="37" fontId="6" fillId="36" borderId="17" xfId="0" applyNumberFormat="1" applyFont="1" applyFill="1" applyBorder="1" applyAlignment="1">
      <alignment/>
    </xf>
    <xf numFmtId="38" fontId="6" fillId="37" borderId="14" xfId="0" applyNumberFormat="1" applyFont="1" applyFill="1" applyBorder="1" applyAlignment="1">
      <alignment/>
    </xf>
    <xf numFmtId="43" fontId="6" fillId="41" borderId="17" xfId="0" applyNumberFormat="1" applyFont="1" applyFill="1" applyBorder="1" applyAlignment="1">
      <alignment horizontal="center" wrapText="1"/>
    </xf>
    <xf numFmtId="0" fontId="6" fillId="41" borderId="17" xfId="0" applyFont="1" applyFill="1" applyBorder="1" applyAlignment="1">
      <alignment horizontal="center"/>
    </xf>
    <xf numFmtId="43" fontId="9" fillId="0" borderId="20" xfId="0" applyNumberFormat="1" applyFont="1" applyFill="1" applyBorder="1" applyAlignment="1">
      <alignment/>
    </xf>
    <xf numFmtId="0" fontId="12" fillId="0" borderId="0" xfId="59" applyFont="1" applyFill="1">
      <alignment/>
      <protection/>
    </xf>
    <xf numFmtId="38" fontId="7" fillId="0" borderId="0" xfId="59" applyNumberFormat="1" applyFont="1">
      <alignment/>
      <protection/>
    </xf>
    <xf numFmtId="38" fontId="7" fillId="0" borderId="20" xfId="0" applyNumberFormat="1" applyFont="1" applyFill="1" applyBorder="1" applyAlignment="1">
      <alignment/>
    </xf>
    <xf numFmtId="38" fontId="11" fillId="37" borderId="20" xfId="0" applyNumberFormat="1" applyFont="1" applyFill="1" applyBorder="1" applyAlignment="1">
      <alignment/>
    </xf>
    <xf numFmtId="0" fontId="13" fillId="36" borderId="0" xfId="0" applyFont="1" applyFill="1" applyAlignment="1">
      <alignment horizontal="left"/>
    </xf>
    <xf numFmtId="38" fontId="0" fillId="0" borderId="0" xfId="0" applyNumberFormat="1" applyFont="1" applyAlignment="1">
      <alignment/>
    </xf>
    <xf numFmtId="0" fontId="10" fillId="40" borderId="17" xfId="0" applyFont="1" applyFill="1" applyBorder="1" applyAlignment="1">
      <alignment horizontal="center"/>
    </xf>
    <xf numFmtId="0" fontId="10" fillId="40" borderId="17" xfId="0" applyFont="1" applyFill="1" applyBorder="1" applyAlignment="1">
      <alignment horizontal="left"/>
    </xf>
    <xf numFmtId="175" fontId="10" fillId="40" borderId="17" xfId="0" applyNumberFormat="1" applyFont="1" applyFill="1" applyBorder="1" applyAlignment="1">
      <alignment horizontal="center"/>
    </xf>
    <xf numFmtId="175" fontId="10" fillId="40" borderId="17" xfId="0" applyNumberFormat="1" applyFont="1" applyFill="1" applyBorder="1" applyAlignment="1">
      <alignment horizontal="center" wrapText="1"/>
    </xf>
    <xf numFmtId="0" fontId="8" fillId="35" borderId="17" xfId="0" applyFont="1" applyFill="1" applyBorder="1" applyAlignment="1" quotePrefix="1">
      <alignment horizontal="left"/>
    </xf>
    <xf numFmtId="0" fontId="8" fillId="35" borderId="17" xfId="0" applyFont="1" applyFill="1" applyBorder="1" applyAlignment="1">
      <alignment/>
    </xf>
    <xf numFmtId="38" fontId="8" fillId="35" borderId="17" xfId="0" applyNumberFormat="1" applyFont="1" applyFill="1" applyBorder="1" applyAlignment="1">
      <alignment/>
    </xf>
    <xf numFmtId="0" fontId="8" fillId="0" borderId="0" xfId="0" applyFont="1" applyAlignment="1" quotePrefix="1">
      <alignment horizontal="left"/>
    </xf>
    <xf numFmtId="0" fontId="8" fillId="37" borderId="0" xfId="0" applyFont="1" applyFill="1" applyAlignment="1">
      <alignment/>
    </xf>
    <xf numFmtId="38" fontId="8" fillId="37" borderId="0" xfId="0" applyNumberFormat="1" applyFont="1" applyFill="1" applyAlignment="1">
      <alignment/>
    </xf>
    <xf numFmtId="0" fontId="14" fillId="0" borderId="0" xfId="0" applyFont="1" applyAlignment="1">
      <alignment horizontal="left"/>
    </xf>
    <xf numFmtId="38" fontId="14" fillId="0" borderId="15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38" fontId="10" fillId="36" borderId="17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8" fillId="35" borderId="17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38" fontId="0" fillId="0" borderId="0" xfId="0" applyNumberFormat="1" applyAlignment="1">
      <alignment/>
    </xf>
    <xf numFmtId="202" fontId="0" fillId="0" borderId="0" xfId="0" applyNumberFormat="1" applyAlignment="1">
      <alignment/>
    </xf>
    <xf numFmtId="49" fontId="0" fillId="0" borderId="0" xfId="0" applyNumberFormat="1" applyAlignment="1">
      <alignment/>
    </xf>
    <xf numFmtId="203" fontId="9" fillId="0" borderId="16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6" fillId="40" borderId="17" xfId="0" applyFont="1" applyFill="1" applyBorder="1" applyAlignment="1">
      <alignment horizontal="left"/>
    </xf>
    <xf numFmtId="203" fontId="6" fillId="40" borderId="17" xfId="0" applyNumberFormat="1" applyFont="1" applyFill="1" applyBorder="1" applyAlignment="1">
      <alignment horizontal="center"/>
    </xf>
    <xf numFmtId="203" fontId="6" fillId="40" borderId="17" xfId="0" applyNumberFormat="1" applyFont="1" applyFill="1" applyBorder="1" applyAlignment="1">
      <alignment horizontal="center" wrapText="1"/>
    </xf>
    <xf numFmtId="0" fontId="9" fillId="35" borderId="17" xfId="0" applyFont="1" applyFill="1" applyBorder="1" applyAlignment="1" quotePrefix="1">
      <alignment horizontal="left"/>
    </xf>
    <xf numFmtId="0" fontId="9" fillId="35" borderId="17" xfId="0" applyFont="1" applyFill="1" applyBorder="1" applyAlignment="1">
      <alignment horizontal="left"/>
    </xf>
    <xf numFmtId="38" fontId="9" fillId="35" borderId="17" xfId="0" applyNumberFormat="1" applyFont="1" applyFill="1" applyBorder="1" applyAlignment="1">
      <alignment/>
    </xf>
    <xf numFmtId="202" fontId="9" fillId="35" borderId="17" xfId="0" applyNumberFormat="1" applyFont="1" applyFill="1" applyBorder="1" applyAlignment="1">
      <alignment/>
    </xf>
    <xf numFmtId="0" fontId="9" fillId="37" borderId="0" xfId="0" applyFont="1" applyFill="1" applyAlignment="1" quotePrefix="1">
      <alignment horizontal="left"/>
    </xf>
    <xf numFmtId="0" fontId="9" fillId="37" borderId="0" xfId="0" applyFont="1" applyFill="1" applyAlignment="1">
      <alignment horizontal="left"/>
    </xf>
    <xf numFmtId="38" fontId="9" fillId="37" borderId="17" xfId="0" applyNumberFormat="1" applyFont="1" applyFill="1" applyBorder="1" applyAlignment="1">
      <alignment/>
    </xf>
    <xf numFmtId="202" fontId="9" fillId="37" borderId="17" xfId="0" applyNumberFormat="1" applyFont="1" applyFill="1" applyBorder="1" applyAlignment="1">
      <alignment/>
    </xf>
    <xf numFmtId="38" fontId="7" fillId="35" borderId="15" xfId="0" applyNumberFormat="1" applyFont="1" applyFill="1" applyBorder="1" applyAlignment="1">
      <alignment/>
    </xf>
    <xf numFmtId="202" fontId="7" fillId="35" borderId="15" xfId="0" applyNumberFormat="1" applyFont="1" applyFill="1" applyBorder="1" applyAlignment="1">
      <alignment/>
    </xf>
    <xf numFmtId="0" fontId="0" fillId="0" borderId="0" xfId="0" applyAlignment="1" quotePrefix="1">
      <alignment horizontal="left"/>
    </xf>
    <xf numFmtId="38" fontId="6" fillId="36" borderId="17" xfId="0" applyNumberFormat="1" applyFont="1" applyFill="1" applyBorder="1" applyAlignment="1">
      <alignment/>
    </xf>
    <xf numFmtId="202" fontId="6" fillId="36" borderId="17" xfId="0" applyNumberFormat="1" applyFont="1" applyFill="1" applyBorder="1" applyAlignment="1">
      <alignment/>
    </xf>
    <xf numFmtId="0" fontId="7" fillId="37" borderId="0" xfId="0" applyFont="1" applyFill="1" applyAlignment="1">
      <alignment horizontal="left"/>
    </xf>
    <xf numFmtId="38" fontId="7" fillId="37" borderId="15" xfId="0" applyNumberFormat="1" applyFont="1" applyFill="1" applyBorder="1" applyAlignment="1">
      <alignment/>
    </xf>
    <xf numFmtId="202" fontId="7" fillId="37" borderId="15" xfId="0" applyNumberFormat="1" applyFont="1" applyFill="1" applyBorder="1" applyAlignment="1">
      <alignment/>
    </xf>
    <xf numFmtId="38" fontId="9" fillId="37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5" fillId="0" borderId="0" xfId="59" applyFont="1" applyBorder="1">
      <alignment/>
      <protection/>
    </xf>
    <xf numFmtId="0" fontId="0" fillId="0" borderId="0" xfId="0" applyFont="1" applyBorder="1" applyAlignment="1">
      <alignment/>
    </xf>
    <xf numFmtId="14" fontId="5" fillId="0" borderId="0" xfId="59" applyNumberFormat="1" applyFont="1" applyBorder="1">
      <alignment/>
      <protection/>
    </xf>
    <xf numFmtId="43" fontId="5" fillId="0" borderId="0" xfId="42" applyFont="1" applyAlignment="1">
      <alignment/>
    </xf>
    <xf numFmtId="49" fontId="1" fillId="0" borderId="0" xfId="0" applyNumberFormat="1" applyFont="1" applyAlignment="1">
      <alignment horizontal="centerContinuous"/>
    </xf>
    <xf numFmtId="0" fontId="5" fillId="0" borderId="0" xfId="59" applyFont="1" applyAlignment="1">
      <alignment horizontal="centerContinuous"/>
      <protection/>
    </xf>
    <xf numFmtId="1" fontId="5" fillId="0" borderId="0" xfId="59" applyNumberFormat="1" applyFont="1" applyAlignment="1">
      <alignment horizontal="centerContinuous"/>
      <protection/>
    </xf>
    <xf numFmtId="0" fontId="1" fillId="0" borderId="0" xfId="0" applyFont="1" applyAlignment="1">
      <alignment horizontal="centerContinuous"/>
    </xf>
    <xf numFmtId="0" fontId="6" fillId="42" borderId="17" xfId="0" applyFont="1" applyFill="1" applyBorder="1" applyAlignment="1">
      <alignment horizontal="left"/>
    </xf>
    <xf numFmtId="5" fontId="6" fillId="37" borderId="17" xfId="0" applyNumberFormat="1" applyFont="1" applyFill="1" applyBorder="1" applyAlignment="1">
      <alignment horizontal="center"/>
    </xf>
    <xf numFmtId="0" fontId="6" fillId="43" borderId="17" xfId="0" applyFont="1" applyFill="1" applyBorder="1" applyAlignment="1">
      <alignment horizontal="left"/>
    </xf>
    <xf numFmtId="43" fontId="5" fillId="37" borderId="0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horizontal="centerContinuous"/>
    </xf>
    <xf numFmtId="17" fontId="6" fillId="40" borderId="0" xfId="0" applyNumberFormat="1" applyFont="1" applyFill="1" applyBorder="1" applyAlignment="1">
      <alignment horizontal="centerContinuous"/>
    </xf>
    <xf numFmtId="17" fontId="6" fillId="40" borderId="17" xfId="0" applyNumberFormat="1" applyFont="1" applyFill="1" applyBorder="1" applyAlignment="1">
      <alignment horizontal="centerContinuous"/>
    </xf>
    <xf numFmtId="5" fontId="6" fillId="36" borderId="27" xfId="0" applyNumberFormat="1" applyFont="1" applyFill="1" applyBorder="1" applyAlignment="1">
      <alignment horizontal="center"/>
    </xf>
    <xf numFmtId="17" fontId="6" fillId="40" borderId="28" xfId="0" applyNumberFormat="1" applyFont="1" applyFill="1" applyBorder="1" applyAlignment="1">
      <alignment horizontal="centerContinuous"/>
    </xf>
    <xf numFmtId="5" fontId="0" fillId="37" borderId="0" xfId="0" applyNumberFormat="1" applyFont="1" applyFill="1" applyAlignment="1">
      <alignment/>
    </xf>
    <xf numFmtId="5" fontId="5" fillId="37" borderId="0" xfId="59" applyNumberFormat="1" applyFont="1" applyFill="1">
      <alignment/>
      <protection/>
    </xf>
    <xf numFmtId="5" fontId="5" fillId="0" borderId="0" xfId="59" applyNumberFormat="1" applyFont="1">
      <alignment/>
      <protection/>
    </xf>
    <xf numFmtId="43" fontId="10" fillId="36" borderId="0" xfId="0" applyNumberFormat="1" applyFont="1" applyFill="1" applyAlignment="1">
      <alignment horizontal="left"/>
    </xf>
    <xf numFmtId="0" fontId="16" fillId="44" borderId="0" xfId="0" applyFont="1" applyFill="1" applyBorder="1" applyAlignment="1">
      <alignment horizontal="left"/>
    </xf>
    <xf numFmtId="43" fontId="0" fillId="0" borderId="0" xfId="0" applyNumberFormat="1" applyFont="1" applyAlignment="1">
      <alignment/>
    </xf>
    <xf numFmtId="0" fontId="8" fillId="35" borderId="28" xfId="0" applyFont="1" applyFill="1" applyBorder="1" applyAlignment="1">
      <alignment horizontal="left"/>
    </xf>
    <xf numFmtId="0" fontId="0" fillId="35" borderId="0" xfId="0" applyFont="1" applyFill="1" applyAlignment="1">
      <alignment/>
    </xf>
    <xf numFmtId="43" fontId="8" fillId="35" borderId="28" xfId="0" applyNumberFormat="1" applyFont="1" applyFill="1" applyBorder="1" applyAlignment="1">
      <alignment/>
    </xf>
    <xf numFmtId="43" fontId="8" fillId="0" borderId="0" xfId="0" applyNumberFormat="1" applyFont="1" applyAlignment="1">
      <alignment/>
    </xf>
    <xf numFmtId="0" fontId="8" fillId="37" borderId="0" xfId="0" applyFont="1" applyFill="1" applyAlignment="1">
      <alignment horizontal="left"/>
    </xf>
    <xf numFmtId="43" fontId="8" fillId="37" borderId="0" xfId="0" applyNumberFormat="1" applyFont="1" applyFill="1" applyAlignment="1">
      <alignment/>
    </xf>
    <xf numFmtId="43" fontId="8" fillId="37" borderId="28" xfId="0" applyNumberFormat="1" applyFont="1" applyFill="1" applyBorder="1" applyAlignment="1">
      <alignment/>
    </xf>
    <xf numFmtId="204" fontId="8" fillId="37" borderId="0" xfId="0" applyNumberFormat="1" applyFont="1" applyFill="1" applyAlignment="1">
      <alignment/>
    </xf>
    <xf numFmtId="204" fontId="8" fillId="35" borderId="0" xfId="0" applyNumberFormat="1" applyFont="1" applyFill="1" applyAlignment="1">
      <alignment/>
    </xf>
    <xf numFmtId="43" fontId="8" fillId="0" borderId="0" xfId="0" applyNumberFormat="1" applyFont="1" applyAlignment="1">
      <alignment wrapText="1"/>
    </xf>
    <xf numFmtId="204" fontId="8" fillId="37" borderId="28" xfId="0" applyNumberFormat="1" applyFont="1" applyFill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right"/>
    </xf>
    <xf numFmtId="212" fontId="0" fillId="35" borderId="0" xfId="0" applyNumberFormat="1" applyFill="1" applyAlignment="1">
      <alignment/>
    </xf>
    <xf numFmtId="214" fontId="8" fillId="35" borderId="0" xfId="0" applyNumberFormat="1" applyFont="1" applyFill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oss Margin" xfId="48"/>
    <cellStyle name="Heading 1" xfId="49"/>
    <cellStyle name="Heading 2" xfId="50"/>
    <cellStyle name="Heading 3" xfId="51"/>
    <cellStyle name="Heading 4" xfId="52"/>
    <cellStyle name="Input" xfId="53"/>
    <cellStyle name="Level 2 Total" xfId="54"/>
    <cellStyle name="Linked Cell" xfId="55"/>
    <cellStyle name="Major Total" xfId="56"/>
    <cellStyle name="Neutral" xfId="57"/>
    <cellStyle name="Normal_Midwife Sheet" xfId="58"/>
    <cellStyle name="Normal_Report Template" xfId="59"/>
    <cellStyle name="Note" xfId="60"/>
    <cellStyle name="Output" xfId="61"/>
    <cellStyle name="Percent" xfId="62"/>
    <cellStyle name="Percent.0" xfId="63"/>
    <cellStyle name="Percent.00" xfId="64"/>
    <cellStyle name="Title" xfId="65"/>
    <cellStyle name="Total" xfId="66"/>
    <cellStyle name="Total (blue)" xfId="67"/>
    <cellStyle name="Total (Gray)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80808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80808"/>
      <rgbColor rgb="00CCFFCC"/>
      <rgbColor rgb="00FFFFE9"/>
      <rgbColor rgb="00D8E7F8"/>
      <rgbColor rgb="00EBE2E2"/>
      <rgbColor rgb="00FFCC00"/>
      <rgbColor rgb="00F0F0F0"/>
      <rgbColor rgb="003366FF"/>
      <rgbColor rgb="0033CCCC"/>
      <rgbColor rgb="00339933"/>
      <rgbColor rgb="008C8384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4B0102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 of Sales  By Product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575"/>
          <c:y val="0.138"/>
          <c:w val="0.475"/>
          <c:h val="0.74325"/>
        </c:manualLayout>
      </c:layout>
      <c:pie3DChart>
        <c:varyColors val="1"/>
        <c:ser>
          <c:idx val="0"/>
          <c:order val="0"/>
          <c:tx>
            <c:v>Cost of Sales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'COSComp Chart 3-2000'!$A$9:$A$16</c:f>
              <c:strCache/>
            </c:strRef>
          </c:cat>
          <c:val>
            <c:numRef>
              <c:f>'COSComp Chart 3-2000'!$B$9:$B$16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217"/>
          <c:w val="0.0945"/>
          <c:h val="0.5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Revenue-Expense Trend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1325"/>
          <c:w val="0.875"/>
          <c:h val="0.8435"/>
        </c:manualLayout>
      </c:layout>
      <c:lineChart>
        <c:grouping val="standard"/>
        <c:varyColors val="0"/>
        <c:ser>
          <c:idx val="0"/>
          <c:order val="0"/>
          <c:tx>
            <c:v>Revenue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'RevExp Chart 3-2000'!$C$6:$N$6</c:f>
              <c:strCache/>
            </c:strRef>
          </c:cat>
          <c:val>
            <c:numRef>
              <c:f>'RevExp Chart 3-2000'!$C$7:$N$7</c:f>
              <c:numCache/>
            </c:numRef>
          </c:val>
          <c:smooth val="0"/>
        </c:ser>
        <c:ser>
          <c:idx val="1"/>
          <c:order val="1"/>
          <c:tx>
            <c:v>Cost of Sales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'RevExp Chart 3-2000'!$C$6:$N$6</c:f>
              <c:strCache/>
            </c:strRef>
          </c:cat>
          <c:val>
            <c:numRef>
              <c:f>'RevExp Chart 3-2000'!$C$8:$N$8</c:f>
              <c:numCache/>
            </c:numRef>
          </c:val>
          <c:smooth val="0"/>
        </c:ser>
        <c:ser>
          <c:idx val="2"/>
          <c:order val="2"/>
          <c:tx>
            <c:v>Gross Profit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'RevExp Chart 3-2000'!$C$6:$N$6</c:f>
              <c:strCache/>
            </c:strRef>
          </c:cat>
          <c:val>
            <c:numRef>
              <c:f>'RevExp Chart 3-2000'!$C$10:$N$10</c:f>
              <c:numCache/>
            </c:numRef>
          </c:val>
          <c:smooth val="0"/>
        </c:ser>
        <c:ser>
          <c:idx val="3"/>
          <c:order val="3"/>
          <c:tx>
            <c:v>Total Operating Expense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'RevExp Chart 3-2000'!$C$6:$N$6</c:f>
              <c:strCache/>
            </c:strRef>
          </c:cat>
          <c:val>
            <c:numRef>
              <c:f>'RevExp Chart 3-2000'!$C$9:$N$9</c:f>
              <c:numCache/>
            </c:numRef>
          </c:val>
          <c:smooth val="0"/>
        </c:ser>
        <c:ser>
          <c:idx val="4"/>
          <c:order val="4"/>
          <c:tx>
            <c:v>Net Income before Taxes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'RevExp Chart 3-2000'!$C$6:$N$6</c:f>
              <c:strCache/>
            </c:strRef>
          </c:cat>
          <c:val>
            <c:numRef>
              <c:f>'RevExp Chart 3-2000'!$C$11:$N$11</c:f>
              <c:numCache/>
            </c:numRef>
          </c:val>
          <c:smooth val="0"/>
        </c:ser>
        <c:marker val="1"/>
        <c:axId val="15576386"/>
        <c:axId val="5969747"/>
      </c:lineChart>
      <c:catAx>
        <c:axId val="1557638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9747"/>
        <c:crosses val="autoZero"/>
        <c:auto val="1"/>
        <c:lblOffset val="100"/>
        <c:tickLblSkip val="1"/>
        <c:noMultiLvlLbl val="0"/>
      </c:catAx>
      <c:valAx>
        <c:axId val="5969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76386"/>
        <c:crossesAt val="1"/>
        <c:crossBetween val="between"/>
        <c:dispUnits/>
      </c:valAx>
      <c:spPr>
        <a:solidFill>
          <a:srgbClr val="F0F0F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5"/>
          <c:y val="0.33775"/>
          <c:w val="0.198"/>
          <c:h val="0.3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114300</xdr:rowOff>
    </xdr:from>
    <xdr:to>
      <xdr:col>1</xdr:col>
      <xdr:colOff>838200</xdr:colOff>
      <xdr:row>3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76200" y="114300"/>
          <a:ext cx="13716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1" u="none" baseline="0">
              <a:solidFill>
                <a:srgbClr val="800000"/>
              </a:solidFill>
            </a:rPr>
            <a:t>Trial</a:t>
          </a:r>
        </a:p>
      </xdr:txBody>
    </xdr:sp>
    <xdr:clientData/>
  </xdr:twoCellAnchor>
  <xdr:twoCellAnchor editAs="absolute">
    <xdr:from>
      <xdr:col>1</xdr:col>
      <xdr:colOff>257175</xdr:colOff>
      <xdr:row>1</xdr:row>
      <xdr:rowOff>38100</xdr:rowOff>
    </xdr:from>
    <xdr:to>
      <xdr:col>2</xdr:col>
      <xdr:colOff>342900</xdr:colOff>
      <xdr:row>4</xdr:row>
      <xdr:rowOff>28575</xdr:rowOff>
    </xdr:to>
    <xdr:sp>
      <xdr:nvSpPr>
        <xdr:cNvPr id="2" name="Text 2"/>
        <xdr:cNvSpPr txBox="1">
          <a:spLocks noChangeArrowheads="1"/>
        </xdr:cNvSpPr>
      </xdr:nvSpPr>
      <xdr:spPr>
        <a:xfrm>
          <a:off x="866775" y="190500"/>
          <a:ext cx="1762125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Balance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219075</xdr:colOff>
      <xdr:row>0</xdr:row>
      <xdr:rowOff>142875</xdr:rowOff>
    </xdr:from>
    <xdr:to>
      <xdr:col>1</xdr:col>
      <xdr:colOff>1609725</xdr:colOff>
      <xdr:row>4</xdr:row>
      <xdr:rowOff>9525</xdr:rowOff>
    </xdr:to>
    <xdr:sp>
      <xdr:nvSpPr>
        <xdr:cNvPr id="1" name="txtFirstHalf"/>
        <xdr:cNvSpPr txBox="1">
          <a:spLocks noChangeArrowheads="1"/>
        </xdr:cNvSpPr>
      </xdr:nvSpPr>
      <xdr:spPr>
        <a:xfrm>
          <a:off x="219075" y="142875"/>
          <a:ext cx="1885950" cy="514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500" b="0" i="1" u="none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Income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Statement</a:t>
          </a:r>
        </a:p>
      </xdr:txBody>
    </xdr:sp>
    <xdr:clientData/>
  </xdr:twoCellAnchor>
  <xdr:twoCellAnchor editAs="absolute">
    <xdr:from>
      <xdr:col>1</xdr:col>
      <xdr:colOff>790575</xdr:colOff>
      <xdr:row>1</xdr:row>
      <xdr:rowOff>19050</xdr:rowOff>
    </xdr:from>
    <xdr:to>
      <xdr:col>2</xdr:col>
      <xdr:colOff>828675</xdr:colOff>
      <xdr:row>3</xdr:row>
      <xdr:rowOff>142875</xdr:rowOff>
    </xdr:to>
    <xdr:sp fLocksText="0">
      <xdr:nvSpPr>
        <xdr:cNvPr id="2" name="txtSecondHalf"/>
        <xdr:cNvSpPr txBox="1">
          <a:spLocks noChangeArrowheads="1"/>
        </xdr:cNvSpPr>
      </xdr:nvSpPr>
      <xdr:spPr>
        <a:xfrm>
          <a:off x="1285875" y="180975"/>
          <a:ext cx="1724025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52</xdr:row>
      <xdr:rowOff>76200</xdr:rowOff>
    </xdr:from>
    <xdr:to>
      <xdr:col>1</xdr:col>
      <xdr:colOff>2362200</xdr:colOff>
      <xdr:row>54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428625" y="8467725"/>
          <a:ext cx="2286000" cy="495300"/>
          <a:chOff x="338" y="1329"/>
          <a:chExt cx="240" cy="52"/>
        </a:xfrm>
        <a:solidFill>
          <a:srgbClr val="FFFFFF"/>
        </a:solidFill>
      </xdr:grpSpPr>
      <xdr:sp>
        <xdr:nvSpPr>
          <xdr:cNvPr id="2" name="Text 21"/>
          <xdr:cNvSpPr txBox="1">
            <a:spLocks noChangeArrowheads="1"/>
          </xdr:cNvSpPr>
        </xdr:nvSpPr>
        <xdr:spPr>
          <a:xfrm>
            <a:off x="338" y="1329"/>
            <a:ext cx="144" cy="45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1" u="none" baseline="0">
                <a:solidFill>
                  <a:srgbClr val="800000"/>
                </a:solidFill>
              </a:rPr>
              <a:t>Ratios</a:t>
            </a:r>
          </a:p>
        </xdr:txBody>
      </xdr:sp>
      <xdr:sp>
        <xdr:nvSpPr>
          <xdr:cNvPr id="3" name="Text 22"/>
          <xdr:cNvSpPr txBox="1">
            <a:spLocks noChangeArrowheads="1"/>
          </xdr:cNvSpPr>
        </xdr:nvSpPr>
        <xdr:spPr>
          <a:xfrm>
            <a:off x="441" y="1334"/>
            <a:ext cx="137" cy="4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45720" tIns="41148" rIns="0" bIns="0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Report</a:t>
            </a:r>
          </a:p>
        </xdr:txBody>
      </xdr:sp>
    </xdr:grpSp>
    <xdr:clientData/>
  </xdr:twoCellAnchor>
  <xdr:twoCellAnchor>
    <xdr:from>
      <xdr:col>12</xdr:col>
      <xdr:colOff>9525</xdr:colOff>
      <xdr:row>52</xdr:row>
      <xdr:rowOff>85725</xdr:rowOff>
    </xdr:from>
    <xdr:to>
      <xdr:col>12</xdr:col>
      <xdr:colOff>9525</xdr:colOff>
      <xdr:row>52</xdr:row>
      <xdr:rowOff>352425</xdr:rowOff>
    </xdr:to>
    <xdr:sp fLocksText="0">
      <xdr:nvSpPr>
        <xdr:cNvPr id="4" name="txtSo2ndSheetWillPrint"/>
        <xdr:cNvSpPr txBox="1">
          <a:spLocks noChangeArrowheads="1"/>
        </xdr:cNvSpPr>
      </xdr:nvSpPr>
      <xdr:spPr>
        <a:xfrm>
          <a:off x="11553825" y="8477250"/>
          <a:ext cx="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0</xdr:row>
      <xdr:rowOff>114300</xdr:rowOff>
    </xdr:from>
    <xdr:to>
      <xdr:col>6</xdr:col>
      <xdr:colOff>314325</xdr:colOff>
      <xdr:row>4</xdr:row>
      <xdr:rowOff>0</xdr:rowOff>
    </xdr:to>
    <xdr:sp>
      <xdr:nvSpPr>
        <xdr:cNvPr id="1" name="txtFirstHalf"/>
        <xdr:cNvSpPr txBox="1">
          <a:spLocks noChangeArrowheads="1"/>
        </xdr:cNvSpPr>
      </xdr:nvSpPr>
      <xdr:spPr>
        <a:xfrm>
          <a:off x="3933825" y="114300"/>
          <a:ext cx="1543050" cy="533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1" u="none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Sales 
</a:t>
          </a:r>
          <a:r>
            <a:rPr lang="en-US" cap="none" sz="1600" b="1" i="1" u="none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Composition</a:t>
          </a:r>
        </a:p>
      </xdr:txBody>
    </xdr:sp>
    <xdr:clientData/>
  </xdr:twoCellAnchor>
  <xdr:twoCellAnchor>
    <xdr:from>
      <xdr:col>5</xdr:col>
      <xdr:colOff>447675</xdr:colOff>
      <xdr:row>1</xdr:row>
      <xdr:rowOff>9525</xdr:rowOff>
    </xdr:from>
    <xdr:to>
      <xdr:col>6</xdr:col>
      <xdr:colOff>1019175</xdr:colOff>
      <xdr:row>2</xdr:row>
      <xdr:rowOff>152400</xdr:rowOff>
    </xdr:to>
    <xdr:sp>
      <xdr:nvSpPr>
        <xdr:cNvPr id="2" name="txtSecondHalf"/>
        <xdr:cNvSpPr txBox="1">
          <a:spLocks noChangeArrowheads="1"/>
        </xdr:cNvSpPr>
      </xdr:nvSpPr>
      <xdr:spPr>
        <a:xfrm>
          <a:off x="5000625" y="171450"/>
          <a:ext cx="11811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Chart</a:t>
          </a:r>
        </a:p>
      </xdr:txBody>
    </xdr:sp>
    <xdr:clientData/>
  </xdr:twoCellAnchor>
  <xdr:twoCellAnchor>
    <xdr:from>
      <xdr:col>3</xdr:col>
      <xdr:colOff>600075</xdr:colOff>
      <xdr:row>6</xdr:row>
      <xdr:rowOff>85725</xdr:rowOff>
    </xdr:from>
    <xdr:to>
      <xdr:col>14</xdr:col>
      <xdr:colOff>0</xdr:colOff>
      <xdr:row>24</xdr:row>
      <xdr:rowOff>152400</xdr:rowOff>
    </xdr:to>
    <xdr:graphicFrame>
      <xdr:nvGraphicFramePr>
        <xdr:cNvPr id="3" name="Chart 3"/>
        <xdr:cNvGraphicFramePr/>
      </xdr:nvGraphicFramePr>
      <xdr:xfrm>
        <a:off x="3933825" y="1057275"/>
        <a:ext cx="73342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0</xdr:rowOff>
    </xdr:from>
    <xdr:to>
      <xdr:col>3</xdr:col>
      <xdr:colOff>276225</xdr:colOff>
      <xdr:row>16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219075" y="2105025"/>
          <a:ext cx="3295650" cy="552450"/>
          <a:chOff x="688" y="425"/>
          <a:chExt cx="282" cy="58"/>
        </a:xfrm>
        <a:solidFill>
          <a:srgbClr val="FFFFFF"/>
        </a:solidFill>
      </xdr:grpSpPr>
      <xdr:sp>
        <xdr:nvSpPr>
          <xdr:cNvPr id="2" name="txtFirstHalf"/>
          <xdr:cNvSpPr txBox="1">
            <a:spLocks noChangeArrowheads="1"/>
          </xdr:cNvSpPr>
        </xdr:nvSpPr>
        <xdr:spPr>
          <a:xfrm>
            <a:off x="688" y="425"/>
            <a:ext cx="162" cy="5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36576" tIns="32004" rIns="0" bIns="0"/>
          <a:p>
            <a:pPr algn="l">
              <a:defRPr/>
            </a:pPr>
            <a:r>
              <a:rPr lang="en-US" cap="none" sz="1600" b="1" i="1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Revenue -
</a:t>
            </a:r>
            <a:r>
              <a:rPr lang="en-US" cap="none" sz="1600" b="1" i="1" u="none" baseline="0">
                <a:solidFill>
                  <a:srgbClr val="800000"/>
                </a:solidFill>
                <a:latin typeface="Times New Roman"/>
                <a:ea typeface="Times New Roman"/>
                <a:cs typeface="Times New Roman"/>
              </a:rPr>
              <a:t>Expense</a:t>
            </a:r>
          </a:p>
        </xdr:txBody>
      </xdr:sp>
      <xdr:sp>
        <xdr:nvSpPr>
          <xdr:cNvPr id="3" name="txtSecondHalf"/>
          <xdr:cNvSpPr txBox="1">
            <a:spLocks noChangeArrowheads="1"/>
          </xdr:cNvSpPr>
        </xdr:nvSpPr>
        <xdr:spPr>
          <a:xfrm>
            <a:off x="777" y="444"/>
            <a:ext cx="193" cy="3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45720" tIns="36576" rIns="0" bIns="0"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Trend Chart</a:t>
            </a:r>
          </a:p>
        </xdr:txBody>
      </xdr:sp>
    </xdr:grpSp>
    <xdr:clientData/>
  </xdr:twoCellAnchor>
  <xdr:twoCellAnchor>
    <xdr:from>
      <xdr:col>1</xdr:col>
      <xdr:colOff>9525</xdr:colOff>
      <xdr:row>19</xdr:row>
      <xdr:rowOff>85725</xdr:rowOff>
    </xdr:from>
    <xdr:to>
      <xdr:col>10</xdr:col>
      <xdr:colOff>523875</xdr:colOff>
      <xdr:row>38</xdr:row>
      <xdr:rowOff>28575</xdr:rowOff>
    </xdr:to>
    <xdr:graphicFrame>
      <xdr:nvGraphicFramePr>
        <xdr:cNvPr id="4" name="Chart 4"/>
        <xdr:cNvGraphicFramePr/>
      </xdr:nvGraphicFramePr>
      <xdr:xfrm>
        <a:off x="209550" y="3076575"/>
        <a:ext cx="89344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66675</xdr:rowOff>
    </xdr:from>
    <xdr:to>
      <xdr:col>1</xdr:col>
      <xdr:colOff>504825</xdr:colOff>
      <xdr:row>2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66675"/>
          <a:ext cx="13716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1" u="none" baseline="0">
              <a:solidFill>
                <a:srgbClr val="800000"/>
              </a:solidFill>
            </a:rPr>
            <a:t>Balance</a:t>
          </a:r>
        </a:p>
      </xdr:txBody>
    </xdr:sp>
    <xdr:clientData/>
  </xdr:twoCellAnchor>
  <xdr:twoCellAnchor editAs="absolute">
    <xdr:from>
      <xdr:col>1</xdr:col>
      <xdr:colOff>381000</xdr:colOff>
      <xdr:row>0</xdr:row>
      <xdr:rowOff>114300</xdr:rowOff>
    </xdr:from>
    <xdr:to>
      <xdr:col>1</xdr:col>
      <xdr:colOff>1685925</xdr:colOff>
      <xdr:row>2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1304925" y="114300"/>
          <a:ext cx="1304925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114300</xdr:rowOff>
    </xdr:from>
    <xdr:to>
      <xdr:col>1</xdr:col>
      <xdr:colOff>504825</xdr:colOff>
      <xdr:row>1</xdr:row>
      <xdr:rowOff>266700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114300"/>
          <a:ext cx="137160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1" u="none" baseline="0">
              <a:solidFill>
                <a:srgbClr val="800000"/>
              </a:solidFill>
            </a:rPr>
            <a:t>Balance</a:t>
          </a:r>
        </a:p>
      </xdr:txBody>
    </xdr:sp>
    <xdr:clientData/>
  </xdr:twoCellAnchor>
  <xdr:twoCellAnchor editAs="absolute">
    <xdr:from>
      <xdr:col>1</xdr:col>
      <xdr:colOff>371475</xdr:colOff>
      <xdr:row>0</xdr:row>
      <xdr:rowOff>180975</xdr:rowOff>
    </xdr:from>
    <xdr:to>
      <xdr:col>1</xdr:col>
      <xdr:colOff>1676400</xdr:colOff>
      <xdr:row>2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1295400" y="180975"/>
          <a:ext cx="1304925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Sheet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19050</xdr:rowOff>
    </xdr:from>
    <xdr:to>
      <xdr:col>1</xdr:col>
      <xdr:colOff>809625</xdr:colOff>
      <xdr:row>3</xdr:row>
      <xdr:rowOff>47625</xdr:rowOff>
    </xdr:to>
    <xdr:sp>
      <xdr:nvSpPr>
        <xdr:cNvPr id="1" name="txtFirstHalf"/>
        <xdr:cNvSpPr txBox="1">
          <a:spLocks noChangeArrowheads="1"/>
        </xdr:cNvSpPr>
      </xdr:nvSpPr>
      <xdr:spPr>
        <a:xfrm>
          <a:off x="28575" y="19050"/>
          <a:ext cx="1276350" cy="514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1" u="none" baseline="0">
              <a:solidFill>
                <a:srgbClr val="800000"/>
              </a:solidFill>
            </a:rPr>
            <a:t>Cash</a:t>
          </a:r>
        </a:p>
      </xdr:txBody>
    </xdr:sp>
    <xdr:clientData/>
  </xdr:twoCellAnchor>
  <xdr:twoCellAnchor editAs="absolute">
    <xdr:from>
      <xdr:col>1</xdr:col>
      <xdr:colOff>323850</xdr:colOff>
      <xdr:row>0</xdr:row>
      <xdr:rowOff>66675</xdr:rowOff>
    </xdr:from>
    <xdr:to>
      <xdr:col>1</xdr:col>
      <xdr:colOff>2047875</xdr:colOff>
      <xdr:row>3</xdr:row>
      <xdr:rowOff>28575</xdr:rowOff>
    </xdr:to>
    <xdr:sp>
      <xdr:nvSpPr>
        <xdr:cNvPr id="2" name="txtSecondHalf"/>
        <xdr:cNvSpPr txBox="1">
          <a:spLocks noChangeArrowheads="1"/>
        </xdr:cNvSpPr>
      </xdr:nvSpPr>
      <xdr:spPr>
        <a:xfrm>
          <a:off x="819150" y="66675"/>
          <a:ext cx="1724025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Flow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47625</xdr:rowOff>
    </xdr:from>
    <xdr:to>
      <xdr:col>1</xdr:col>
      <xdr:colOff>819150</xdr:colOff>
      <xdr:row>3</xdr:row>
      <xdr:rowOff>76200</xdr:rowOff>
    </xdr:to>
    <xdr:sp>
      <xdr:nvSpPr>
        <xdr:cNvPr id="1" name="txtFirstHalf"/>
        <xdr:cNvSpPr txBox="1">
          <a:spLocks noChangeArrowheads="1"/>
        </xdr:cNvSpPr>
      </xdr:nvSpPr>
      <xdr:spPr>
        <a:xfrm>
          <a:off x="38100" y="47625"/>
          <a:ext cx="1276350" cy="514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1" u="none" baseline="0">
              <a:solidFill>
                <a:srgbClr val="800000"/>
              </a:solidFill>
            </a:rPr>
            <a:t>Cash</a:t>
          </a:r>
        </a:p>
      </xdr:txBody>
    </xdr:sp>
    <xdr:clientData/>
  </xdr:twoCellAnchor>
  <xdr:twoCellAnchor editAs="absolute">
    <xdr:from>
      <xdr:col>1</xdr:col>
      <xdr:colOff>333375</xdr:colOff>
      <xdr:row>0</xdr:row>
      <xdr:rowOff>114300</xdr:rowOff>
    </xdr:from>
    <xdr:to>
      <xdr:col>2</xdr:col>
      <xdr:colOff>0</xdr:colOff>
      <xdr:row>3</xdr:row>
      <xdr:rowOff>9525</xdr:rowOff>
    </xdr:to>
    <xdr:sp>
      <xdr:nvSpPr>
        <xdr:cNvPr id="2" name="txtSecondHalf"/>
        <xdr:cNvSpPr txBox="1">
          <a:spLocks noChangeArrowheads="1"/>
        </xdr:cNvSpPr>
      </xdr:nvSpPr>
      <xdr:spPr>
        <a:xfrm>
          <a:off x="828675" y="114300"/>
          <a:ext cx="172402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Flow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333375</xdr:colOff>
      <xdr:row>1</xdr:row>
      <xdr:rowOff>47625</xdr:rowOff>
    </xdr:from>
    <xdr:to>
      <xdr:col>2</xdr:col>
      <xdr:colOff>19050</xdr:colOff>
      <xdr:row>4</xdr:row>
      <xdr:rowOff>76200</xdr:rowOff>
    </xdr:to>
    <xdr:sp>
      <xdr:nvSpPr>
        <xdr:cNvPr id="1" name="txtFirstHalf"/>
        <xdr:cNvSpPr txBox="1">
          <a:spLocks noChangeArrowheads="1"/>
        </xdr:cNvSpPr>
      </xdr:nvSpPr>
      <xdr:spPr>
        <a:xfrm>
          <a:off x="333375" y="209550"/>
          <a:ext cx="1885950" cy="514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500" b="0" i="1" u="none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Income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Statement</a:t>
          </a:r>
        </a:p>
      </xdr:txBody>
    </xdr:sp>
    <xdr:clientData/>
  </xdr:twoCellAnchor>
  <xdr:twoCellAnchor editAs="absolute">
    <xdr:from>
      <xdr:col>11</xdr:col>
      <xdr:colOff>676275</xdr:colOff>
      <xdr:row>27</xdr:row>
      <xdr:rowOff>38100</xdr:rowOff>
    </xdr:from>
    <xdr:to>
      <xdr:col>13</xdr:col>
      <xdr:colOff>76200</xdr:colOff>
      <xdr:row>29</xdr:row>
      <xdr:rowOff>142875</xdr:rowOff>
    </xdr:to>
    <xdr:sp fLocksText="0">
      <xdr:nvSpPr>
        <xdr:cNvPr id="2" name="txtSecondHalf"/>
        <xdr:cNvSpPr txBox="1">
          <a:spLocks noChangeArrowheads="1"/>
        </xdr:cNvSpPr>
      </xdr:nvSpPr>
      <xdr:spPr>
        <a:xfrm>
          <a:off x="11125200" y="3962400"/>
          <a:ext cx="1724025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323850</xdr:colOff>
      <xdr:row>1</xdr:row>
      <xdr:rowOff>47625</xdr:rowOff>
    </xdr:from>
    <xdr:to>
      <xdr:col>2</xdr:col>
      <xdr:colOff>28575</xdr:colOff>
      <xdr:row>4</xdr:row>
      <xdr:rowOff>76200</xdr:rowOff>
    </xdr:to>
    <xdr:sp>
      <xdr:nvSpPr>
        <xdr:cNvPr id="1" name="txtFirstHalf"/>
        <xdr:cNvSpPr txBox="1">
          <a:spLocks noChangeArrowheads="1"/>
        </xdr:cNvSpPr>
      </xdr:nvSpPr>
      <xdr:spPr>
        <a:xfrm>
          <a:off x="323850" y="209550"/>
          <a:ext cx="1885950" cy="514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500" b="0" i="1" u="none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Income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Statement</a:t>
          </a:r>
        </a:p>
      </xdr:txBody>
    </xdr:sp>
    <xdr:clientData/>
  </xdr:twoCellAnchor>
  <xdr:twoCellAnchor editAs="absolute">
    <xdr:from>
      <xdr:col>1</xdr:col>
      <xdr:colOff>876300</xdr:colOff>
      <xdr:row>1</xdr:row>
      <xdr:rowOff>95250</xdr:rowOff>
    </xdr:from>
    <xdr:to>
      <xdr:col>2</xdr:col>
      <xdr:colOff>914400</xdr:colOff>
      <xdr:row>4</xdr:row>
      <xdr:rowOff>57150</xdr:rowOff>
    </xdr:to>
    <xdr:sp fLocksText="0">
      <xdr:nvSpPr>
        <xdr:cNvPr id="2" name="txtSecondHalf"/>
        <xdr:cNvSpPr txBox="1">
          <a:spLocks noChangeArrowheads="1"/>
        </xdr:cNvSpPr>
      </xdr:nvSpPr>
      <xdr:spPr>
        <a:xfrm>
          <a:off x="1371600" y="257175"/>
          <a:ext cx="1724025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333375</xdr:colOff>
      <xdr:row>1</xdr:row>
      <xdr:rowOff>57150</xdr:rowOff>
    </xdr:from>
    <xdr:to>
      <xdr:col>2</xdr:col>
      <xdr:colOff>38100</xdr:colOff>
      <xdr:row>4</xdr:row>
      <xdr:rowOff>85725</xdr:rowOff>
    </xdr:to>
    <xdr:sp>
      <xdr:nvSpPr>
        <xdr:cNvPr id="1" name="txtFirstHalf"/>
        <xdr:cNvSpPr txBox="1">
          <a:spLocks noChangeArrowheads="1"/>
        </xdr:cNvSpPr>
      </xdr:nvSpPr>
      <xdr:spPr>
        <a:xfrm>
          <a:off x="333375" y="219075"/>
          <a:ext cx="1885950" cy="514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500" b="0" i="1" u="none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Income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Statement</a:t>
          </a:r>
        </a:p>
      </xdr:txBody>
    </xdr:sp>
    <xdr:clientData/>
  </xdr:twoCellAnchor>
  <xdr:twoCellAnchor editAs="absolute">
    <xdr:from>
      <xdr:col>1</xdr:col>
      <xdr:colOff>904875</xdr:colOff>
      <xdr:row>1</xdr:row>
      <xdr:rowOff>95250</xdr:rowOff>
    </xdr:from>
    <xdr:to>
      <xdr:col>2</xdr:col>
      <xdr:colOff>942975</xdr:colOff>
      <xdr:row>4</xdr:row>
      <xdr:rowOff>57150</xdr:rowOff>
    </xdr:to>
    <xdr:sp fLocksText="0">
      <xdr:nvSpPr>
        <xdr:cNvPr id="2" name="txtSecondHalf"/>
        <xdr:cNvSpPr txBox="1">
          <a:spLocks noChangeArrowheads="1"/>
        </xdr:cNvSpPr>
      </xdr:nvSpPr>
      <xdr:spPr>
        <a:xfrm>
          <a:off x="1400175" y="257175"/>
          <a:ext cx="1724025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333375</xdr:colOff>
      <xdr:row>1</xdr:row>
      <xdr:rowOff>28575</xdr:rowOff>
    </xdr:from>
    <xdr:to>
      <xdr:col>2</xdr:col>
      <xdr:colOff>38100</xdr:colOff>
      <xdr:row>4</xdr:row>
      <xdr:rowOff>57150</xdr:rowOff>
    </xdr:to>
    <xdr:sp>
      <xdr:nvSpPr>
        <xdr:cNvPr id="1" name="txtFirstHalf"/>
        <xdr:cNvSpPr txBox="1">
          <a:spLocks noChangeArrowheads="1"/>
        </xdr:cNvSpPr>
      </xdr:nvSpPr>
      <xdr:spPr>
        <a:xfrm>
          <a:off x="333375" y="190500"/>
          <a:ext cx="1885950" cy="514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500" b="0" i="1" u="none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Income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Statement</a:t>
          </a:r>
        </a:p>
      </xdr:txBody>
    </xdr:sp>
    <xdr:clientData/>
  </xdr:twoCellAnchor>
  <xdr:twoCellAnchor editAs="absolute">
    <xdr:from>
      <xdr:col>1</xdr:col>
      <xdr:colOff>904875</xdr:colOff>
      <xdr:row>1</xdr:row>
      <xdr:rowOff>66675</xdr:rowOff>
    </xdr:from>
    <xdr:to>
      <xdr:col>2</xdr:col>
      <xdr:colOff>942975</xdr:colOff>
      <xdr:row>4</xdr:row>
      <xdr:rowOff>28575</xdr:rowOff>
    </xdr:to>
    <xdr:sp fLocksText="0">
      <xdr:nvSpPr>
        <xdr:cNvPr id="2" name="txtSecondHalf"/>
        <xdr:cNvSpPr txBox="1">
          <a:spLocks noChangeArrowheads="1"/>
        </xdr:cNvSpPr>
      </xdr:nvSpPr>
      <xdr:spPr>
        <a:xfrm>
          <a:off x="1400175" y="228600"/>
          <a:ext cx="1724025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69"/>
  <sheetViews>
    <sheetView showGridLines="0" tabSelected="1" zoomScalePageLayoutView="0" workbookViewId="0" topLeftCell="A1">
      <selection activeCell="C15" sqref="C15"/>
    </sheetView>
  </sheetViews>
  <sheetFormatPr defaultColWidth="9.140625" defaultRowHeight="12.75"/>
  <cols>
    <col min="1" max="1" width="9.140625" style="3" customWidth="1"/>
    <col min="2" max="2" width="25.140625" style="2" customWidth="1"/>
    <col min="3" max="3" width="14.140625" style="2" customWidth="1"/>
    <col min="4" max="4" width="9.421875" style="2" customWidth="1"/>
    <col min="5" max="5" width="10.28125" style="2" customWidth="1"/>
    <col min="6" max="6" width="12.8515625" style="2" customWidth="1"/>
    <col min="7" max="7" width="14.140625" style="2" customWidth="1"/>
    <col min="8" max="10" width="12.7109375" style="2" customWidth="1"/>
    <col min="11" max="11" width="13.57421875" style="2" customWidth="1"/>
    <col min="12" max="16384" width="9.140625" style="1" customWidth="1"/>
  </cols>
  <sheetData>
    <row r="1" ht="12"/>
    <row r="2" ht="12"/>
    <row r="3" ht="12"/>
    <row r="4" ht="12"/>
    <row r="5" ht="12"/>
    <row r="6" spans="1:11" ht="12">
      <c r="A6" s="5" t="s">
        <v>0</v>
      </c>
      <c r="B6" s="6">
        <v>38412</v>
      </c>
      <c r="C6" s="4"/>
      <c r="D6" s="4"/>
      <c r="E6" s="4"/>
      <c r="F6" s="4"/>
      <c r="G6" s="4"/>
      <c r="H6" s="4"/>
      <c r="I6" s="4"/>
      <c r="J6" s="4"/>
      <c r="K6" s="4"/>
    </row>
    <row r="7" spans="1:11" ht="5.25" customHeight="1">
      <c r="A7" s="7"/>
      <c r="B7" s="8"/>
      <c r="C7" s="4"/>
      <c r="D7" s="4"/>
      <c r="E7" s="4"/>
      <c r="F7" s="4"/>
      <c r="G7" s="4"/>
      <c r="H7" s="4"/>
      <c r="I7" s="4"/>
      <c r="J7" s="4"/>
      <c r="K7" s="4"/>
    </row>
    <row r="8" spans="1:11" ht="9.75" customHeight="1">
      <c r="A8" s="9"/>
      <c r="B8" s="9"/>
      <c r="C8" s="10" t="s">
        <v>1</v>
      </c>
      <c r="D8" s="10"/>
      <c r="E8" s="10"/>
      <c r="F8" s="10"/>
      <c r="G8" s="10" t="s">
        <v>1</v>
      </c>
      <c r="H8" s="10" t="s">
        <v>2</v>
      </c>
      <c r="I8" s="10" t="s">
        <v>2</v>
      </c>
      <c r="J8" s="10" t="s">
        <v>2</v>
      </c>
      <c r="K8" s="10"/>
    </row>
    <row r="9" spans="1:11" ht="12.75" customHeight="1" thickBot="1">
      <c r="A9" s="11" t="s">
        <v>3</v>
      </c>
      <c r="B9" s="11" t="s">
        <v>4</v>
      </c>
      <c r="C9" s="10" t="s">
        <v>5</v>
      </c>
      <c r="D9" s="10" t="s">
        <v>6</v>
      </c>
      <c r="E9" s="10" t="s">
        <v>7</v>
      </c>
      <c r="F9" s="10" t="s">
        <v>8</v>
      </c>
      <c r="G9" s="10" t="s">
        <v>9</v>
      </c>
      <c r="H9" s="10" t="s">
        <v>10</v>
      </c>
      <c r="I9" s="10" t="s">
        <v>11</v>
      </c>
      <c r="J9" s="10" t="s">
        <v>12</v>
      </c>
      <c r="K9" s="10" t="s">
        <v>13</v>
      </c>
    </row>
    <row r="10" spans="1:11" ht="12.75" thickBot="1">
      <c r="A10" s="12" t="s">
        <v>14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</row>
    <row r="11" spans="1:2" ht="12">
      <c r="A11" s="15" t="s">
        <v>15</v>
      </c>
      <c r="B11" s="15"/>
    </row>
    <row r="12" spans="1:11" s="16" customFormat="1" ht="13.5" thickBot="1">
      <c r="A12" s="32" t="s">
        <v>16</v>
      </c>
      <c r="B12" s="33" t="s">
        <v>17</v>
      </c>
      <c r="C12" s="34">
        <v>3862507.79</v>
      </c>
      <c r="D12" s="34">
        <v>5052759.13</v>
      </c>
      <c r="E12" s="34">
        <v>3421160.2</v>
      </c>
      <c r="F12" s="34">
        <f aca="true" t="shared" si="0" ref="F12:F17">D12-E12</f>
        <v>1631598.9299999997</v>
      </c>
      <c r="G12" s="34">
        <v>4851115.47</v>
      </c>
      <c r="H12" s="34">
        <v>965735.47</v>
      </c>
      <c r="I12" s="34">
        <v>322744.22</v>
      </c>
      <c r="J12" s="34">
        <f aca="true" t="shared" si="1" ref="J12:J17">H12-I12</f>
        <v>642991.25</v>
      </c>
      <c r="K12" s="35">
        <f aca="true" t="shared" si="2" ref="K12:K17">G12+J12</f>
        <v>5494106.72</v>
      </c>
    </row>
    <row r="13" spans="1:11" s="17" customFormat="1" ht="12.75" thickBot="1">
      <c r="A13" s="18" t="s">
        <v>18</v>
      </c>
      <c r="B13" s="18" t="s">
        <v>19</v>
      </c>
      <c r="C13" s="19">
        <v>10290144.54</v>
      </c>
      <c r="D13" s="19">
        <v>7990628.13</v>
      </c>
      <c r="E13" s="19">
        <v>4922866.13</v>
      </c>
      <c r="F13" s="19">
        <f t="shared" si="0"/>
        <v>3067762</v>
      </c>
      <c r="G13" s="19">
        <v>13560732.82</v>
      </c>
      <c r="H13" s="19">
        <v>750851.19</v>
      </c>
      <c r="I13" s="19">
        <v>953677.47</v>
      </c>
      <c r="J13" s="19">
        <f t="shared" si="1"/>
        <v>-202826.28000000003</v>
      </c>
      <c r="K13" s="20">
        <f t="shared" si="2"/>
        <v>13357906.540000001</v>
      </c>
    </row>
    <row r="14" spans="1:11" s="16" customFormat="1" ht="13.5" thickBot="1">
      <c r="A14" s="32" t="s">
        <v>20</v>
      </c>
      <c r="B14" s="33" t="s">
        <v>21</v>
      </c>
      <c r="C14" s="34">
        <v>-44610.6</v>
      </c>
      <c r="D14" s="34">
        <v>0</v>
      </c>
      <c r="E14" s="34">
        <v>14937.8</v>
      </c>
      <c r="F14" s="34">
        <f t="shared" si="0"/>
        <v>-14937.8</v>
      </c>
      <c r="G14" s="34">
        <v>-58238.85</v>
      </c>
      <c r="H14" s="34">
        <v>0</v>
      </c>
      <c r="I14" s="34">
        <v>1309.55</v>
      </c>
      <c r="J14" s="34">
        <f t="shared" si="1"/>
        <v>-1309.55</v>
      </c>
      <c r="K14" s="35">
        <f t="shared" si="2"/>
        <v>-59548.4</v>
      </c>
    </row>
    <row r="15" spans="1:11" s="17" customFormat="1" ht="12.75" thickBot="1">
      <c r="A15" s="18" t="s">
        <v>22</v>
      </c>
      <c r="B15" s="18" t="s">
        <v>23</v>
      </c>
      <c r="C15" s="19">
        <v>-139568.94</v>
      </c>
      <c r="D15" s="19">
        <v>0</v>
      </c>
      <c r="E15" s="19">
        <v>46523</v>
      </c>
      <c r="F15" s="19">
        <f t="shared" si="0"/>
        <v>-46523</v>
      </c>
      <c r="G15" s="19">
        <v>-181718.78</v>
      </c>
      <c r="H15" s="19">
        <v>0</v>
      </c>
      <c r="I15" s="19">
        <v>4373.16</v>
      </c>
      <c r="J15" s="19">
        <f t="shared" si="1"/>
        <v>-4373.16</v>
      </c>
      <c r="K15" s="20">
        <f t="shared" si="2"/>
        <v>-186091.94</v>
      </c>
    </row>
    <row r="16" spans="1:11" s="16" customFormat="1" ht="13.5" thickBot="1">
      <c r="A16" s="32" t="s">
        <v>24</v>
      </c>
      <c r="B16" s="33" t="s">
        <v>25</v>
      </c>
      <c r="C16" s="34">
        <v>702699.34</v>
      </c>
      <c r="D16" s="34">
        <v>208521.56</v>
      </c>
      <c r="E16" s="34">
        <v>0</v>
      </c>
      <c r="F16" s="34">
        <f t="shared" si="0"/>
        <v>208521.56</v>
      </c>
      <c r="G16" s="34">
        <v>905835.1</v>
      </c>
      <c r="H16" s="34">
        <v>5385.8</v>
      </c>
      <c r="I16" s="34">
        <v>0</v>
      </c>
      <c r="J16" s="34">
        <f t="shared" si="1"/>
        <v>5385.8</v>
      </c>
      <c r="K16" s="35">
        <f t="shared" si="2"/>
        <v>911220.9</v>
      </c>
    </row>
    <row r="17" spans="1:11" s="17" customFormat="1" ht="12.75" thickBot="1">
      <c r="A17" s="18" t="s">
        <v>26</v>
      </c>
      <c r="B17" s="18" t="s">
        <v>27</v>
      </c>
      <c r="C17" s="19">
        <v>65395</v>
      </c>
      <c r="D17" s="19">
        <v>22825</v>
      </c>
      <c r="E17" s="19">
        <v>0</v>
      </c>
      <c r="F17" s="19">
        <f t="shared" si="0"/>
        <v>22825</v>
      </c>
      <c r="G17" s="19">
        <v>86416</v>
      </c>
      <c r="H17" s="19">
        <v>1804</v>
      </c>
      <c r="I17" s="19">
        <v>0</v>
      </c>
      <c r="J17" s="19">
        <f t="shared" si="1"/>
        <v>1804</v>
      </c>
      <c r="K17" s="20">
        <f t="shared" si="2"/>
        <v>88220</v>
      </c>
    </row>
    <row r="18" spans="1:11" ht="12">
      <c r="A18" s="36" t="s">
        <v>28</v>
      </c>
      <c r="B18" s="36" t="s">
        <v>15</v>
      </c>
      <c r="C18" s="37">
        <f>SUM(C11:Next.Up)</f>
        <v>14736567.129999999</v>
      </c>
      <c r="D18" s="37">
        <f>SUM(D11:Next.Up)</f>
        <v>13274733.82</v>
      </c>
      <c r="E18" s="37">
        <f>SUM(E11:Next.Up)</f>
        <v>8405487.129999999</v>
      </c>
      <c r="F18" s="37">
        <f>SUM(F11:Next.Up)</f>
        <v>4869246.6899999995</v>
      </c>
      <c r="G18" s="37">
        <f>SUM(G11:Next.Up)</f>
        <v>19164141.759999998</v>
      </c>
      <c r="H18" s="37">
        <f>SUM(H11:Next.Up)</f>
        <v>1723776.46</v>
      </c>
      <c r="I18" s="37">
        <f>SUM(I11:Next.Up)</f>
        <v>1282104.4</v>
      </c>
      <c r="J18" s="37">
        <f>SUM(J11:Next.Up)</f>
        <v>441672.06</v>
      </c>
      <c r="K18" s="37">
        <f>SUM(K11:Next.Up)</f>
        <v>19605813.82</v>
      </c>
    </row>
    <row r="19" spans="1:2" ht="12">
      <c r="A19" s="15" t="s">
        <v>29</v>
      </c>
      <c r="B19" s="15"/>
    </row>
    <row r="20" spans="1:11" s="16" customFormat="1" ht="13.5" thickBot="1">
      <c r="A20" s="32" t="s">
        <v>30</v>
      </c>
      <c r="B20" s="33" t="s">
        <v>31</v>
      </c>
      <c r="C20" s="34">
        <v>-11815</v>
      </c>
      <c r="D20" s="34">
        <v>0</v>
      </c>
      <c r="E20" s="34">
        <v>4027</v>
      </c>
      <c r="F20" s="34">
        <f>D20-E20</f>
        <v>-4027</v>
      </c>
      <c r="G20" s="34">
        <v>-15488</v>
      </c>
      <c r="H20" s="34">
        <v>0</v>
      </c>
      <c r="I20" s="34">
        <v>354</v>
      </c>
      <c r="J20" s="34">
        <f>H20-I20</f>
        <v>-354</v>
      </c>
      <c r="K20" s="35">
        <f>G20+J20</f>
        <v>-15842</v>
      </c>
    </row>
    <row r="21" spans="1:11" s="17" customFormat="1" ht="12.75" thickBot="1">
      <c r="A21" s="18" t="s">
        <v>32</v>
      </c>
      <c r="B21" s="18" t="s">
        <v>33</v>
      </c>
      <c r="C21" s="19">
        <v>-737469.04</v>
      </c>
      <c r="D21" s="19">
        <v>0</v>
      </c>
      <c r="E21" s="19">
        <v>245823</v>
      </c>
      <c r="F21" s="19">
        <f>D21-E21</f>
        <v>-245823</v>
      </c>
      <c r="G21" s="19">
        <v>-960184.68</v>
      </c>
      <c r="H21" s="19">
        <v>0</v>
      </c>
      <c r="I21" s="19">
        <v>23107.36</v>
      </c>
      <c r="J21" s="19">
        <f>H21-I21</f>
        <v>-23107.36</v>
      </c>
      <c r="K21" s="20">
        <f>G21+J21</f>
        <v>-983292.04</v>
      </c>
    </row>
    <row r="22" spans="1:11" s="16" customFormat="1" ht="13.5" thickBot="1">
      <c r="A22" s="32" t="s">
        <v>34</v>
      </c>
      <c r="B22" s="33" t="s">
        <v>35</v>
      </c>
      <c r="C22" s="34">
        <v>15542</v>
      </c>
      <c r="D22" s="34">
        <v>5126</v>
      </c>
      <c r="E22" s="34">
        <v>0</v>
      </c>
      <c r="F22" s="34">
        <f>D22-E22</f>
        <v>5126</v>
      </c>
      <c r="G22" s="34">
        <v>20270</v>
      </c>
      <c r="H22" s="34">
        <v>398</v>
      </c>
      <c r="I22" s="34">
        <v>0</v>
      </c>
      <c r="J22" s="34">
        <f>H22-I22</f>
        <v>398</v>
      </c>
      <c r="K22" s="35">
        <f>G22+J22</f>
        <v>20668</v>
      </c>
    </row>
    <row r="23" spans="1:11" ht="12.75" thickBot="1">
      <c r="A23" s="36" t="s">
        <v>28</v>
      </c>
      <c r="B23" s="36" t="s">
        <v>29</v>
      </c>
      <c r="C23" s="37">
        <f>SUM(C19:Next.Up)</f>
        <v>-733742.04</v>
      </c>
      <c r="D23" s="37">
        <f>SUM(D19:Next.Up)</f>
        <v>5126</v>
      </c>
      <c r="E23" s="37">
        <f>SUM(E19:Next.Up)</f>
        <v>249850</v>
      </c>
      <c r="F23" s="37">
        <f>SUM(F19:Next.Up)</f>
        <v>-244724</v>
      </c>
      <c r="G23" s="37">
        <f>SUM(G19:Next.Up)</f>
        <v>-955402.68</v>
      </c>
      <c r="H23" s="37">
        <f>SUM(H19:Next.Up)</f>
        <v>398</v>
      </c>
      <c r="I23" s="37">
        <f>SUM(I19:Next.Up)</f>
        <v>23461.36</v>
      </c>
      <c r="J23" s="37">
        <f>SUM(J19:Next.Up)</f>
        <v>-23063.36</v>
      </c>
      <c r="K23" s="37">
        <f>SUM(K19:Next.Up)</f>
        <v>-978466.04</v>
      </c>
    </row>
    <row r="24" spans="1:11" ht="12.75" thickBot="1">
      <c r="A24" s="21" t="s">
        <v>36</v>
      </c>
      <c r="B24" s="22"/>
      <c r="C24" s="23">
        <f aca="true" t="shared" si="3" ref="C24:K24">SUM(C18,C23)</f>
        <v>14002825.09</v>
      </c>
      <c r="D24" s="23">
        <f t="shared" si="3"/>
        <v>13279859.82</v>
      </c>
      <c r="E24" s="23">
        <f t="shared" si="3"/>
        <v>8655337.129999999</v>
      </c>
      <c r="F24" s="23">
        <f t="shared" si="3"/>
        <v>4624522.6899999995</v>
      </c>
      <c r="G24" s="23">
        <f t="shared" si="3"/>
        <v>18208739.08</v>
      </c>
      <c r="H24" s="23">
        <f t="shared" si="3"/>
        <v>1724174.46</v>
      </c>
      <c r="I24" s="23">
        <f t="shared" si="3"/>
        <v>1305565.76</v>
      </c>
      <c r="J24" s="23">
        <f t="shared" si="3"/>
        <v>418608.7</v>
      </c>
      <c r="K24" s="23">
        <f t="shared" si="3"/>
        <v>18627347.78</v>
      </c>
    </row>
    <row r="25" spans="1:11" ht="12.75" thickBot="1">
      <c r="A25" s="12" t="s">
        <v>37</v>
      </c>
      <c r="B25" s="13"/>
      <c r="C25" s="14"/>
      <c r="D25" s="14"/>
      <c r="E25" s="14"/>
      <c r="F25" s="14"/>
      <c r="G25" s="14"/>
      <c r="H25" s="14"/>
      <c r="I25" s="14"/>
      <c r="J25" s="14"/>
      <c r="K25" s="14"/>
    </row>
    <row r="26" spans="1:2" ht="12">
      <c r="A26" s="15" t="s">
        <v>38</v>
      </c>
      <c r="B26" s="15"/>
    </row>
    <row r="27" spans="1:11" s="16" customFormat="1" ht="13.5" thickBot="1">
      <c r="A27" s="32" t="s">
        <v>39</v>
      </c>
      <c r="B27" s="33" t="s">
        <v>40</v>
      </c>
      <c r="C27" s="34">
        <v>-1897695.25</v>
      </c>
      <c r="D27" s="34">
        <v>3200696.44</v>
      </c>
      <c r="E27" s="34">
        <v>3795778.99</v>
      </c>
      <c r="F27" s="34">
        <f>D27-E27</f>
        <v>-595082.5500000003</v>
      </c>
      <c r="G27" s="34">
        <v>-2452349.75</v>
      </c>
      <c r="H27" s="34">
        <v>316386.97</v>
      </c>
      <c r="I27" s="34">
        <v>356815.02</v>
      </c>
      <c r="J27" s="34">
        <f>H27-I27</f>
        <v>-40428.05000000005</v>
      </c>
      <c r="K27" s="35">
        <f>G27+J27</f>
        <v>-2492777.8</v>
      </c>
    </row>
    <row r="28" spans="1:11" s="17" customFormat="1" ht="12.75" thickBot="1">
      <c r="A28" s="18" t="s">
        <v>41</v>
      </c>
      <c r="B28" s="18" t="s">
        <v>42</v>
      </c>
      <c r="C28" s="19">
        <v>-16555.08</v>
      </c>
      <c r="D28" s="19">
        <v>5492</v>
      </c>
      <c r="E28" s="19">
        <v>0</v>
      </c>
      <c r="F28" s="19">
        <f>D28-E28</f>
        <v>5492</v>
      </c>
      <c r="G28" s="19">
        <v>-11554.08</v>
      </c>
      <c r="H28" s="19">
        <v>491</v>
      </c>
      <c r="I28" s="19">
        <v>0</v>
      </c>
      <c r="J28" s="19">
        <f>H28-I28</f>
        <v>491</v>
      </c>
      <c r="K28" s="20">
        <f>G28+J28</f>
        <v>-11063.08</v>
      </c>
    </row>
    <row r="29" spans="1:11" s="16" customFormat="1" ht="13.5" thickBot="1">
      <c r="A29" s="32" t="s">
        <v>43</v>
      </c>
      <c r="B29" s="33" t="s">
        <v>44</v>
      </c>
      <c r="C29" s="34">
        <v>-404090.44</v>
      </c>
      <c r="D29" s="34">
        <v>0</v>
      </c>
      <c r="E29" s="34">
        <v>141702.2</v>
      </c>
      <c r="F29" s="34">
        <f>D29-E29</f>
        <v>-141702.2</v>
      </c>
      <c r="G29" s="34">
        <v>-532973.64</v>
      </c>
      <c r="H29" s="34">
        <v>0</v>
      </c>
      <c r="I29" s="34">
        <v>12819</v>
      </c>
      <c r="J29" s="34">
        <f>H29-I29</f>
        <v>-12819</v>
      </c>
      <c r="K29" s="35">
        <f>G29+J29</f>
        <v>-545792.64</v>
      </c>
    </row>
    <row r="30" spans="1:11" ht="12">
      <c r="A30" s="36" t="s">
        <v>28</v>
      </c>
      <c r="B30" s="36" t="s">
        <v>38</v>
      </c>
      <c r="C30" s="37">
        <f>SUM(C26:Next.Up)</f>
        <v>-2318340.77</v>
      </c>
      <c r="D30" s="37">
        <f>SUM(D26:Next.Up)</f>
        <v>3206188.44</v>
      </c>
      <c r="E30" s="37">
        <f>SUM(E26:Next.Up)</f>
        <v>3937481.1900000004</v>
      </c>
      <c r="F30" s="37">
        <f>SUM(F26:Next.Up)</f>
        <v>-731292.7500000002</v>
      </c>
      <c r="G30" s="37">
        <f>SUM(G26:Next.Up)</f>
        <v>-2996877.47</v>
      </c>
      <c r="H30" s="37">
        <f>SUM(H26:Next.Up)</f>
        <v>316877.97</v>
      </c>
      <c r="I30" s="37">
        <f>SUM(I26:Next.Up)</f>
        <v>369634.02</v>
      </c>
      <c r="J30" s="37">
        <f>SUM(J26:Next.Up)</f>
        <v>-52756.05000000005</v>
      </c>
      <c r="K30" s="37">
        <f>SUM(K26:Next.Up)</f>
        <v>-3049633.52</v>
      </c>
    </row>
    <row r="31" spans="1:2" ht="12">
      <c r="A31" s="15" t="s">
        <v>45</v>
      </c>
      <c r="B31" s="15"/>
    </row>
    <row r="32" spans="1:11" s="16" customFormat="1" ht="13.5" thickBot="1">
      <c r="A32" s="32" t="s">
        <v>46</v>
      </c>
      <c r="B32" s="33" t="s">
        <v>47</v>
      </c>
      <c r="C32" s="34">
        <v>-12303</v>
      </c>
      <c r="D32" s="34">
        <v>0</v>
      </c>
      <c r="E32" s="34">
        <v>4163</v>
      </c>
      <c r="F32" s="34">
        <f>D32-E32</f>
        <v>-4163</v>
      </c>
      <c r="G32" s="34">
        <v>-16187</v>
      </c>
      <c r="H32" s="34">
        <v>0</v>
      </c>
      <c r="I32" s="34">
        <v>279</v>
      </c>
      <c r="J32" s="34">
        <f>H32-I32</f>
        <v>-279</v>
      </c>
      <c r="K32" s="35">
        <f>G32+J32</f>
        <v>-16466</v>
      </c>
    </row>
    <row r="33" spans="1:11" s="17" customFormat="1" ht="12.75" thickBot="1">
      <c r="A33" s="18" t="s">
        <v>48</v>
      </c>
      <c r="B33" s="18" t="s">
        <v>49</v>
      </c>
      <c r="C33" s="19">
        <v>-12550.48</v>
      </c>
      <c r="D33" s="19">
        <v>0</v>
      </c>
      <c r="E33" s="19">
        <v>2506</v>
      </c>
      <c r="F33" s="19">
        <f>D33-E33</f>
        <v>-2506</v>
      </c>
      <c r="G33" s="19">
        <v>-14795.48</v>
      </c>
      <c r="H33" s="19">
        <v>0</v>
      </c>
      <c r="I33" s="19">
        <v>261</v>
      </c>
      <c r="J33" s="19">
        <f>H33-I33</f>
        <v>-261</v>
      </c>
      <c r="K33" s="20">
        <f>G33+J33</f>
        <v>-15056.48</v>
      </c>
    </row>
    <row r="34" spans="1:11" ht="12">
      <c r="A34" s="36" t="s">
        <v>28</v>
      </c>
      <c r="B34" s="36" t="s">
        <v>45</v>
      </c>
      <c r="C34" s="37">
        <f>SUM(C31:Next.Up)</f>
        <v>-24853.48</v>
      </c>
      <c r="D34" s="37">
        <f>SUM(D31:Next.Up)</f>
        <v>0</v>
      </c>
      <c r="E34" s="37">
        <f>SUM(E31:Next.Up)</f>
        <v>6669</v>
      </c>
      <c r="F34" s="37">
        <f>SUM(F31:Next.Up)</f>
        <v>-6669</v>
      </c>
      <c r="G34" s="37">
        <f>SUM(G31:Next.Up)</f>
        <v>-30982.48</v>
      </c>
      <c r="H34" s="37">
        <f>SUM(H31:Next.Up)</f>
        <v>0</v>
      </c>
      <c r="I34" s="37">
        <f>SUM(I31:Next.Up)</f>
        <v>540</v>
      </c>
      <c r="J34" s="37">
        <f>SUM(J31:Next.Up)</f>
        <v>-540</v>
      </c>
      <c r="K34" s="37">
        <f>SUM(K31:Next.Up)</f>
        <v>-31522.48</v>
      </c>
    </row>
    <row r="35" spans="1:11" ht="12.75" thickBot="1">
      <c r="A35" s="24" t="s">
        <v>50</v>
      </c>
      <c r="B35" s="25"/>
      <c r="C35" s="26">
        <f aca="true" t="shared" si="4" ref="C35:K35">SUM(C30,C34)</f>
        <v>-2343194.25</v>
      </c>
      <c r="D35" s="26">
        <f t="shared" si="4"/>
        <v>3206188.44</v>
      </c>
      <c r="E35" s="26">
        <f t="shared" si="4"/>
        <v>3944150.1900000004</v>
      </c>
      <c r="F35" s="26">
        <f t="shared" si="4"/>
        <v>-737961.7500000002</v>
      </c>
      <c r="G35" s="26">
        <f t="shared" si="4"/>
        <v>-3027859.95</v>
      </c>
      <c r="H35" s="26">
        <f t="shared" si="4"/>
        <v>316877.97</v>
      </c>
      <c r="I35" s="26">
        <f t="shared" si="4"/>
        <v>370174.02</v>
      </c>
      <c r="J35" s="26">
        <f t="shared" si="4"/>
        <v>-53296.05000000005</v>
      </c>
      <c r="K35" s="26">
        <f t="shared" si="4"/>
        <v>-3081156</v>
      </c>
    </row>
    <row r="36" spans="1:11" ht="12">
      <c r="A36" s="15" t="s">
        <v>51</v>
      </c>
      <c r="B36" s="15"/>
      <c r="C36" s="27"/>
      <c r="D36" s="27"/>
      <c r="E36" s="27"/>
      <c r="F36" s="27"/>
      <c r="G36" s="27"/>
      <c r="H36" s="27"/>
      <c r="I36" s="27"/>
      <c r="J36" s="27"/>
      <c r="K36" s="27"/>
    </row>
    <row r="37" spans="1:11" s="16" customFormat="1" ht="13.5" thickBot="1">
      <c r="A37" s="32" t="s">
        <v>52</v>
      </c>
      <c r="B37" s="33" t="s">
        <v>53</v>
      </c>
      <c r="C37" s="34">
        <v>-7451</v>
      </c>
      <c r="D37" s="34">
        <v>0</v>
      </c>
      <c r="E37" s="34">
        <v>2501</v>
      </c>
      <c r="F37" s="34">
        <f>D37-E37</f>
        <v>-2501</v>
      </c>
      <c r="G37" s="34">
        <v>-9741</v>
      </c>
      <c r="H37" s="34">
        <v>0</v>
      </c>
      <c r="I37" s="34">
        <v>211</v>
      </c>
      <c r="J37" s="34">
        <f>H37-I37</f>
        <v>-211</v>
      </c>
      <c r="K37" s="35">
        <f>G37+J37</f>
        <v>-9952</v>
      </c>
    </row>
    <row r="38" spans="1:11" s="17" customFormat="1" ht="12.75" thickBot="1">
      <c r="A38" s="18" t="s">
        <v>54</v>
      </c>
      <c r="B38" s="18" t="s">
        <v>55</v>
      </c>
      <c r="C38" s="19">
        <v>-11652179.84</v>
      </c>
      <c r="D38" s="19">
        <v>0</v>
      </c>
      <c r="E38" s="19">
        <v>0</v>
      </c>
      <c r="F38" s="19">
        <f>D38-E38</f>
        <v>0</v>
      </c>
      <c r="G38" s="19">
        <v>-11652179.84</v>
      </c>
      <c r="H38" s="19">
        <v>0</v>
      </c>
      <c r="I38" s="19">
        <v>0</v>
      </c>
      <c r="J38" s="19">
        <f>H38-I38</f>
        <v>0</v>
      </c>
      <c r="K38" s="20">
        <f>G38+J38</f>
        <v>-11652179.84</v>
      </c>
    </row>
    <row r="39" spans="1:11" ht="12">
      <c r="A39" s="36" t="s">
        <v>28</v>
      </c>
      <c r="B39" s="36" t="s">
        <v>51</v>
      </c>
      <c r="C39" s="37">
        <f>SUM(C36:Next.Up)</f>
        <v>-11659630.84</v>
      </c>
      <c r="D39" s="37">
        <f>SUM(D36:Next.Up)</f>
        <v>0</v>
      </c>
      <c r="E39" s="37">
        <f>SUM(E36:Next.Up)</f>
        <v>2501</v>
      </c>
      <c r="F39" s="37">
        <f>SUM(F36:Next.Up)</f>
        <v>-2501</v>
      </c>
      <c r="G39" s="37">
        <f>SUM(G36:Next.Up)</f>
        <v>-11661920.84</v>
      </c>
      <c r="H39" s="37">
        <f>SUM(H36:Next.Up)</f>
        <v>0</v>
      </c>
      <c r="I39" s="37">
        <f>SUM(I36:Next.Up)</f>
        <v>211</v>
      </c>
      <c r="J39" s="37">
        <f>SUM(J36:Next.Up)</f>
        <v>-211</v>
      </c>
      <c r="K39" s="37">
        <f>SUM(K36:Next.Up)</f>
        <v>-11662131.84</v>
      </c>
    </row>
    <row r="40" spans="1:11" ht="12">
      <c r="A40" s="15" t="s">
        <v>56</v>
      </c>
      <c r="B40" s="15"/>
      <c r="C40" s="27"/>
      <c r="D40" s="27"/>
      <c r="E40" s="27"/>
      <c r="F40" s="27"/>
      <c r="G40" s="27"/>
      <c r="H40" s="27"/>
      <c r="I40" s="27"/>
      <c r="J40" s="27"/>
      <c r="K40" s="27"/>
    </row>
    <row r="41" spans="1:11" s="16" customFormat="1" ht="13.5" thickBot="1">
      <c r="A41" s="32" t="s">
        <v>57</v>
      </c>
      <c r="B41" s="33" t="s">
        <v>58</v>
      </c>
      <c r="C41" s="34">
        <v>0</v>
      </c>
      <c r="D41" s="34">
        <v>0</v>
      </c>
      <c r="E41" s="34">
        <v>2452399</v>
      </c>
      <c r="F41" s="34">
        <f>D41-E41</f>
        <v>-2452399</v>
      </c>
      <c r="G41" s="34">
        <v>-2221873.49</v>
      </c>
      <c r="H41" s="34">
        <v>0</v>
      </c>
      <c r="I41" s="34">
        <v>230525.51</v>
      </c>
      <c r="J41" s="34">
        <f>H41-I41</f>
        <v>-230525.51</v>
      </c>
      <c r="K41" s="35">
        <f>G41+J41</f>
        <v>-2452399</v>
      </c>
    </row>
    <row r="42" spans="1:11" s="17" customFormat="1" ht="12.75" thickBot="1">
      <c r="A42" s="18" t="s">
        <v>59</v>
      </c>
      <c r="B42" s="18" t="s">
        <v>60</v>
      </c>
      <c r="C42" s="19">
        <v>0</v>
      </c>
      <c r="D42" s="19">
        <v>0</v>
      </c>
      <c r="E42" s="19">
        <v>1471399.02</v>
      </c>
      <c r="F42" s="19">
        <f>D42-E42</f>
        <v>-1471399.02</v>
      </c>
      <c r="G42" s="19">
        <v>-1333087.51</v>
      </c>
      <c r="H42" s="19">
        <v>0</v>
      </c>
      <c r="I42" s="19">
        <v>138311.51</v>
      </c>
      <c r="J42" s="19">
        <f>H42-I42</f>
        <v>-138311.51</v>
      </c>
      <c r="K42" s="20">
        <f>G42+J42</f>
        <v>-1471399.02</v>
      </c>
    </row>
    <row r="43" spans="1:11" s="16" customFormat="1" ht="13.5" thickBot="1">
      <c r="A43" s="32" t="s">
        <v>61</v>
      </c>
      <c r="B43" s="33" t="s">
        <v>62</v>
      </c>
      <c r="C43" s="34">
        <v>0</v>
      </c>
      <c r="D43" s="34">
        <v>0</v>
      </c>
      <c r="E43" s="34">
        <v>2391286.98</v>
      </c>
      <c r="F43" s="34">
        <f>D43-E43</f>
        <v>-2391286.98</v>
      </c>
      <c r="G43" s="34">
        <v>-2166506</v>
      </c>
      <c r="H43" s="34">
        <v>0</v>
      </c>
      <c r="I43" s="34">
        <v>224780.98</v>
      </c>
      <c r="J43" s="34">
        <f>H43-I43</f>
        <v>-224780.98</v>
      </c>
      <c r="K43" s="35">
        <f>G43+J43</f>
        <v>-2391286.98</v>
      </c>
    </row>
    <row r="44" spans="1:11" s="17" customFormat="1" ht="12.75" thickBot="1">
      <c r="A44" s="18" t="s">
        <v>63</v>
      </c>
      <c r="B44" s="18" t="s">
        <v>64</v>
      </c>
      <c r="C44" s="19">
        <v>0</v>
      </c>
      <c r="D44" s="19">
        <v>0</v>
      </c>
      <c r="E44" s="19">
        <v>59517.99</v>
      </c>
      <c r="F44" s="19">
        <f>D44-E44</f>
        <v>-59517.99</v>
      </c>
      <c r="G44" s="19">
        <v>-53923.28</v>
      </c>
      <c r="H44" s="19">
        <v>0</v>
      </c>
      <c r="I44" s="19">
        <v>5594.71</v>
      </c>
      <c r="J44" s="19">
        <f>H44-I44</f>
        <v>-5594.71</v>
      </c>
      <c r="K44" s="20">
        <f>G44+J44</f>
        <v>-59517.99</v>
      </c>
    </row>
    <row r="45" spans="1:11" ht="12">
      <c r="A45" s="36" t="s">
        <v>28</v>
      </c>
      <c r="B45" s="36" t="s">
        <v>56</v>
      </c>
      <c r="C45" s="37">
        <f>SUM(C40:Next.Up)</f>
        <v>0</v>
      </c>
      <c r="D45" s="37">
        <f>SUM(D40:Next.Up)</f>
        <v>0</v>
      </c>
      <c r="E45" s="37">
        <f>SUM(E40:Next.Up)</f>
        <v>6374602.99</v>
      </c>
      <c r="F45" s="37">
        <f>SUM(F40:Next.Up)</f>
        <v>-6374602.99</v>
      </c>
      <c r="G45" s="37">
        <f>SUM(G40:Next.Up)</f>
        <v>-5775390.28</v>
      </c>
      <c r="H45" s="37">
        <f>SUM(H40:Next.Up)</f>
        <v>0</v>
      </c>
      <c r="I45" s="37">
        <f>SUM(I40:Next.Up)</f>
        <v>599212.71</v>
      </c>
      <c r="J45" s="37">
        <f>SUM(J40:Next.Up)</f>
        <v>-599212.71</v>
      </c>
      <c r="K45" s="37">
        <f>SUM(K40:Next.Up)</f>
        <v>-6374602.99</v>
      </c>
    </row>
    <row r="46" spans="1:11" ht="12">
      <c r="A46" s="15" t="s">
        <v>65</v>
      </c>
      <c r="B46" s="15"/>
      <c r="C46" s="27"/>
      <c r="D46" s="27"/>
      <c r="E46" s="27"/>
      <c r="F46" s="27"/>
      <c r="G46" s="27"/>
      <c r="H46" s="27"/>
      <c r="I46" s="27"/>
      <c r="J46" s="27"/>
      <c r="K46" s="27"/>
    </row>
    <row r="47" spans="1:11" s="16" customFormat="1" ht="13.5" thickBot="1">
      <c r="A47" s="32" t="s">
        <v>66</v>
      </c>
      <c r="B47" s="33" t="s">
        <v>67</v>
      </c>
      <c r="C47" s="34">
        <v>0</v>
      </c>
      <c r="D47" s="34">
        <v>713117.97</v>
      </c>
      <c r="E47" s="34">
        <v>0</v>
      </c>
      <c r="F47" s="34">
        <f>D47-E47</f>
        <v>713117.97</v>
      </c>
      <c r="G47" s="34">
        <v>646084.88</v>
      </c>
      <c r="H47" s="34">
        <v>67033.09</v>
      </c>
      <c r="I47" s="34">
        <v>0</v>
      </c>
      <c r="J47" s="34">
        <f>H47-I47</f>
        <v>67033.09</v>
      </c>
      <c r="K47" s="35">
        <f>G47+J47</f>
        <v>713117.97</v>
      </c>
    </row>
    <row r="48" spans="1:11" s="17" customFormat="1" ht="12.75" thickBot="1">
      <c r="A48" s="18" t="s">
        <v>68</v>
      </c>
      <c r="B48" s="18" t="s">
        <v>69</v>
      </c>
      <c r="C48" s="19">
        <v>0</v>
      </c>
      <c r="D48" s="19">
        <v>911318.98</v>
      </c>
      <c r="E48" s="19">
        <v>0</v>
      </c>
      <c r="F48" s="19">
        <f>D48-E48</f>
        <v>911318.98</v>
      </c>
      <c r="G48" s="19">
        <v>825655</v>
      </c>
      <c r="H48" s="19">
        <v>85663.98</v>
      </c>
      <c r="I48" s="19">
        <v>0</v>
      </c>
      <c r="J48" s="19">
        <f>H48-I48</f>
        <v>85663.98</v>
      </c>
      <c r="K48" s="20">
        <f>G48+J48</f>
        <v>911318.98</v>
      </c>
    </row>
    <row r="49" spans="1:11" s="16" customFormat="1" ht="13.5" thickBot="1">
      <c r="A49" s="32" t="s">
        <v>70</v>
      </c>
      <c r="B49" s="33" t="s">
        <v>71</v>
      </c>
      <c r="C49" s="34">
        <v>0</v>
      </c>
      <c r="D49" s="34">
        <v>537186.02</v>
      </c>
      <c r="E49" s="34">
        <v>0</v>
      </c>
      <c r="F49" s="34">
        <f>D49-E49</f>
        <v>537186.02</v>
      </c>
      <c r="G49" s="34">
        <v>486690.53</v>
      </c>
      <c r="H49" s="34">
        <v>50495.49</v>
      </c>
      <c r="I49" s="34">
        <v>0</v>
      </c>
      <c r="J49" s="34">
        <f>H49-I49</f>
        <v>50495.49</v>
      </c>
      <c r="K49" s="35">
        <f>G49+J49</f>
        <v>537186.02</v>
      </c>
    </row>
    <row r="50" spans="1:11" s="17" customFormat="1" ht="12.75" thickBot="1">
      <c r="A50" s="18" t="s">
        <v>72</v>
      </c>
      <c r="B50" s="18" t="s">
        <v>73</v>
      </c>
      <c r="C50" s="19">
        <v>0</v>
      </c>
      <c r="D50" s="19">
        <v>318655</v>
      </c>
      <c r="E50" s="19">
        <v>0</v>
      </c>
      <c r="F50" s="19">
        <f>D50-E50</f>
        <v>318655</v>
      </c>
      <c r="G50" s="19">
        <v>288701.42</v>
      </c>
      <c r="H50" s="19">
        <v>29953.58</v>
      </c>
      <c r="I50" s="19">
        <v>0</v>
      </c>
      <c r="J50" s="19">
        <f>H50-I50</f>
        <v>29953.58</v>
      </c>
      <c r="K50" s="20">
        <f>G50+J50</f>
        <v>318655</v>
      </c>
    </row>
    <row r="51" spans="1:11" ht="12">
      <c r="A51" s="36" t="s">
        <v>28</v>
      </c>
      <c r="B51" s="36" t="s">
        <v>65</v>
      </c>
      <c r="C51" s="37">
        <f>SUM(C46:Next.Up)</f>
        <v>0</v>
      </c>
      <c r="D51" s="37">
        <f>SUM(D46:Next.Up)</f>
        <v>2480277.9699999997</v>
      </c>
      <c r="E51" s="37">
        <f>SUM(E46:Next.Up)</f>
        <v>0</v>
      </c>
      <c r="F51" s="37">
        <f>SUM(F46:Next.Up)</f>
        <v>2480277.9699999997</v>
      </c>
      <c r="G51" s="37">
        <f>SUM(G46:Next.Up)</f>
        <v>2247131.83</v>
      </c>
      <c r="H51" s="37">
        <f>SUM(H46:Next.Up)</f>
        <v>233146.14</v>
      </c>
      <c r="I51" s="37">
        <f>SUM(I46:Next.Up)</f>
        <v>0</v>
      </c>
      <c r="J51" s="37">
        <f>SUM(J46:Next.Up)</f>
        <v>233146.14</v>
      </c>
      <c r="K51" s="37">
        <f>SUM(K46:Next.Up)</f>
        <v>2480277.9699999997</v>
      </c>
    </row>
    <row r="52" spans="1:11" ht="12.75" thickBot="1">
      <c r="A52" s="28" t="s">
        <v>74</v>
      </c>
      <c r="B52" s="29"/>
      <c r="C52" s="30">
        <f aca="true" t="shared" si="5" ref="C52:K52">C45+C51</f>
        <v>0</v>
      </c>
      <c r="D52" s="30">
        <f t="shared" si="5"/>
        <v>2480277.9699999997</v>
      </c>
      <c r="E52" s="30">
        <f t="shared" si="5"/>
        <v>6374602.99</v>
      </c>
      <c r="F52" s="30">
        <f t="shared" si="5"/>
        <v>-3894325.0200000005</v>
      </c>
      <c r="G52" s="30">
        <f t="shared" si="5"/>
        <v>-3528258.45</v>
      </c>
      <c r="H52" s="30">
        <f t="shared" si="5"/>
        <v>233146.14</v>
      </c>
      <c r="I52" s="30">
        <f t="shared" si="5"/>
        <v>599212.71</v>
      </c>
      <c r="J52" s="30">
        <f t="shared" si="5"/>
        <v>-366066.56999999995</v>
      </c>
      <c r="K52" s="30">
        <f t="shared" si="5"/>
        <v>-3894325.0200000005</v>
      </c>
    </row>
    <row r="53" spans="1:11" ht="12">
      <c r="A53" s="15" t="s">
        <v>75</v>
      </c>
      <c r="B53" s="15"/>
      <c r="C53" s="27"/>
      <c r="D53" s="27"/>
      <c r="E53" s="27"/>
      <c r="F53" s="27"/>
      <c r="G53" s="27"/>
      <c r="H53" s="27"/>
      <c r="I53" s="27"/>
      <c r="J53" s="27"/>
      <c r="K53" s="27"/>
    </row>
    <row r="54" spans="1:11" s="16" customFormat="1" ht="13.5" thickBot="1">
      <c r="A54" s="32" t="s">
        <v>76</v>
      </c>
      <c r="B54" s="33" t="s">
        <v>77</v>
      </c>
      <c r="C54" s="34">
        <v>0</v>
      </c>
      <c r="D54" s="34">
        <v>0</v>
      </c>
      <c r="E54" s="34">
        <v>1592398.94</v>
      </c>
      <c r="F54" s="34">
        <f aca="true" t="shared" si="6" ref="F54:F64">D54-E54</f>
        <v>-1592398.94</v>
      </c>
      <c r="G54" s="34">
        <v>-1442713.46</v>
      </c>
      <c r="H54" s="34">
        <v>0</v>
      </c>
      <c r="I54" s="34">
        <v>149685.48</v>
      </c>
      <c r="J54" s="34">
        <f aca="true" t="shared" si="7" ref="J54:J64">H54-I54</f>
        <v>-149685.48</v>
      </c>
      <c r="K54" s="35">
        <f aca="true" t="shared" si="8" ref="K54:K64">G54+J54</f>
        <v>-1592398.94</v>
      </c>
    </row>
    <row r="55" spans="1:11" s="17" customFormat="1" ht="12.75" thickBot="1">
      <c r="A55" s="18" t="s">
        <v>78</v>
      </c>
      <c r="B55" s="18" t="s">
        <v>79</v>
      </c>
      <c r="C55" s="19">
        <v>0</v>
      </c>
      <c r="D55" s="19">
        <v>56494.98</v>
      </c>
      <c r="E55" s="19">
        <v>0</v>
      </c>
      <c r="F55" s="19">
        <f t="shared" si="6"/>
        <v>56494.98</v>
      </c>
      <c r="G55" s="19">
        <v>51184.45</v>
      </c>
      <c r="H55" s="19">
        <v>5310.53</v>
      </c>
      <c r="I55" s="19">
        <v>0</v>
      </c>
      <c r="J55" s="19">
        <f t="shared" si="7"/>
        <v>5310.53</v>
      </c>
      <c r="K55" s="20">
        <f t="shared" si="8"/>
        <v>56494.979999999996</v>
      </c>
    </row>
    <row r="56" spans="1:11" s="16" customFormat="1" ht="13.5" thickBot="1">
      <c r="A56" s="32" t="s">
        <v>80</v>
      </c>
      <c r="B56" s="33" t="s">
        <v>81</v>
      </c>
      <c r="C56" s="34">
        <v>0</v>
      </c>
      <c r="D56" s="34">
        <v>87363.95</v>
      </c>
      <c r="E56" s="34">
        <v>0</v>
      </c>
      <c r="F56" s="34">
        <f t="shared" si="6"/>
        <v>87363.95</v>
      </c>
      <c r="G56" s="34">
        <v>79151.7</v>
      </c>
      <c r="H56" s="34">
        <v>8212.25</v>
      </c>
      <c r="I56" s="34">
        <v>0</v>
      </c>
      <c r="J56" s="34">
        <f t="shared" si="7"/>
        <v>8212.25</v>
      </c>
      <c r="K56" s="35">
        <f t="shared" si="8"/>
        <v>87363.95</v>
      </c>
    </row>
    <row r="57" spans="1:11" s="17" customFormat="1" ht="12.75" thickBot="1">
      <c r="A57" s="18" t="s">
        <v>82</v>
      </c>
      <c r="B57" s="18" t="s">
        <v>83</v>
      </c>
      <c r="C57" s="19">
        <v>0</v>
      </c>
      <c r="D57" s="19">
        <v>245823</v>
      </c>
      <c r="E57" s="19">
        <v>0</v>
      </c>
      <c r="F57" s="19">
        <f t="shared" si="6"/>
        <v>245823</v>
      </c>
      <c r="G57" s="19">
        <v>222715.64</v>
      </c>
      <c r="H57" s="19">
        <v>23107.36</v>
      </c>
      <c r="I57" s="19">
        <v>0</v>
      </c>
      <c r="J57" s="19">
        <f t="shared" si="7"/>
        <v>23107.36</v>
      </c>
      <c r="K57" s="20">
        <f t="shared" si="8"/>
        <v>245823</v>
      </c>
    </row>
    <row r="58" spans="1:11" s="16" customFormat="1" ht="13.5" thickBot="1">
      <c r="A58" s="32" t="s">
        <v>84</v>
      </c>
      <c r="B58" s="33" t="s">
        <v>85</v>
      </c>
      <c r="C58" s="34">
        <v>0</v>
      </c>
      <c r="D58" s="34">
        <v>273640</v>
      </c>
      <c r="E58" s="34">
        <v>0</v>
      </c>
      <c r="F58" s="34">
        <f t="shared" si="6"/>
        <v>273640</v>
      </c>
      <c r="G58" s="34">
        <v>247917.84</v>
      </c>
      <c r="H58" s="34">
        <v>25722.16</v>
      </c>
      <c r="I58" s="34">
        <v>0</v>
      </c>
      <c r="J58" s="34">
        <f t="shared" si="7"/>
        <v>25722.16</v>
      </c>
      <c r="K58" s="35">
        <f t="shared" si="8"/>
        <v>273640</v>
      </c>
    </row>
    <row r="59" spans="1:11" s="17" customFormat="1" ht="12.75" thickBot="1">
      <c r="A59" s="18" t="s">
        <v>86</v>
      </c>
      <c r="B59" s="18" t="s">
        <v>87</v>
      </c>
      <c r="C59" s="19">
        <v>0</v>
      </c>
      <c r="D59" s="19">
        <v>116166.97</v>
      </c>
      <c r="E59" s="19">
        <v>0</v>
      </c>
      <c r="F59" s="19">
        <f t="shared" si="6"/>
        <v>116166.97</v>
      </c>
      <c r="G59" s="19">
        <v>105247.26</v>
      </c>
      <c r="H59" s="19">
        <v>10919.71</v>
      </c>
      <c r="I59" s="19">
        <v>0</v>
      </c>
      <c r="J59" s="19">
        <f t="shared" si="7"/>
        <v>10919.71</v>
      </c>
      <c r="K59" s="20">
        <f t="shared" si="8"/>
        <v>116166.97</v>
      </c>
    </row>
    <row r="60" spans="1:11" s="16" customFormat="1" ht="13.5" thickBot="1">
      <c r="A60" s="32" t="s">
        <v>88</v>
      </c>
      <c r="B60" s="33" t="s">
        <v>89</v>
      </c>
      <c r="C60" s="34">
        <v>0</v>
      </c>
      <c r="D60" s="34">
        <v>281069.01</v>
      </c>
      <c r="E60" s="34">
        <v>0</v>
      </c>
      <c r="F60" s="34">
        <f t="shared" si="6"/>
        <v>281069.01</v>
      </c>
      <c r="G60" s="34">
        <v>254648.52</v>
      </c>
      <c r="H60" s="34">
        <v>26420.49</v>
      </c>
      <c r="I60" s="34">
        <v>0</v>
      </c>
      <c r="J60" s="34">
        <f t="shared" si="7"/>
        <v>26420.49</v>
      </c>
      <c r="K60" s="35">
        <f t="shared" si="8"/>
        <v>281069.01</v>
      </c>
    </row>
    <row r="61" spans="1:11" s="17" customFormat="1" ht="12.75" thickBot="1">
      <c r="A61" s="18" t="s">
        <v>90</v>
      </c>
      <c r="B61" s="18" t="s">
        <v>91</v>
      </c>
      <c r="C61" s="19">
        <v>0</v>
      </c>
      <c r="D61" s="19">
        <v>195643</v>
      </c>
      <c r="E61" s="19">
        <v>0</v>
      </c>
      <c r="F61" s="19">
        <f t="shared" si="6"/>
        <v>195643</v>
      </c>
      <c r="G61" s="19">
        <v>177252.55</v>
      </c>
      <c r="H61" s="19">
        <v>18390.45</v>
      </c>
      <c r="I61" s="19">
        <v>0</v>
      </c>
      <c r="J61" s="19">
        <f t="shared" si="7"/>
        <v>18390.45</v>
      </c>
      <c r="K61" s="20">
        <f t="shared" si="8"/>
        <v>195643</v>
      </c>
    </row>
    <row r="62" spans="1:11" s="16" customFormat="1" ht="13.5" thickBot="1">
      <c r="A62" s="32" t="s">
        <v>92</v>
      </c>
      <c r="B62" s="33" t="s">
        <v>93</v>
      </c>
      <c r="C62" s="34">
        <v>0</v>
      </c>
      <c r="D62" s="34">
        <v>46523</v>
      </c>
      <c r="E62" s="34">
        <v>0</v>
      </c>
      <c r="F62" s="34">
        <f t="shared" si="6"/>
        <v>46523</v>
      </c>
      <c r="G62" s="34">
        <v>42149.84</v>
      </c>
      <c r="H62" s="34">
        <v>4373.16</v>
      </c>
      <c r="I62" s="34">
        <v>0</v>
      </c>
      <c r="J62" s="34">
        <f t="shared" si="7"/>
        <v>4373.16</v>
      </c>
      <c r="K62" s="35">
        <f t="shared" si="8"/>
        <v>46523</v>
      </c>
    </row>
    <row r="63" spans="1:11" s="17" customFormat="1" ht="12.75" thickBot="1">
      <c r="A63" s="18" t="s">
        <v>94</v>
      </c>
      <c r="B63" s="18" t="s">
        <v>95</v>
      </c>
      <c r="C63" s="19">
        <v>0</v>
      </c>
      <c r="D63" s="19">
        <v>73340</v>
      </c>
      <c r="E63" s="19">
        <v>0</v>
      </c>
      <c r="F63" s="19">
        <f t="shared" si="6"/>
        <v>73340</v>
      </c>
      <c r="G63" s="19">
        <v>66446.04</v>
      </c>
      <c r="H63" s="19">
        <v>6893.96</v>
      </c>
      <c r="I63" s="19">
        <v>0</v>
      </c>
      <c r="J63" s="19">
        <f t="shared" si="7"/>
        <v>6893.96</v>
      </c>
      <c r="K63" s="20">
        <f t="shared" si="8"/>
        <v>73340</v>
      </c>
    </row>
    <row r="64" spans="1:11" s="16" customFormat="1" ht="13.5" thickBot="1">
      <c r="A64" s="32" t="s">
        <v>96</v>
      </c>
      <c r="B64" s="33" t="s">
        <v>97</v>
      </c>
      <c r="C64" s="34">
        <v>0</v>
      </c>
      <c r="D64" s="34">
        <v>226600.11</v>
      </c>
      <c r="E64" s="34">
        <v>0</v>
      </c>
      <c r="F64" s="34">
        <f t="shared" si="6"/>
        <v>226600.11</v>
      </c>
      <c r="G64" s="34">
        <v>205299.78</v>
      </c>
      <c r="H64" s="34">
        <v>21300.33</v>
      </c>
      <c r="I64" s="34">
        <v>0</v>
      </c>
      <c r="J64" s="34">
        <f t="shared" si="7"/>
        <v>21300.33</v>
      </c>
      <c r="K64" s="35">
        <f t="shared" si="8"/>
        <v>226600.11</v>
      </c>
    </row>
    <row r="65" spans="1:11" ht="12">
      <c r="A65" s="36" t="s">
        <v>28</v>
      </c>
      <c r="B65" s="36" t="s">
        <v>75</v>
      </c>
      <c r="C65" s="37">
        <f>SUM(C53:Next.Up)</f>
        <v>0</v>
      </c>
      <c r="D65" s="37">
        <f>SUM(D53:Next.Up)</f>
        <v>1602664.02</v>
      </c>
      <c r="E65" s="37">
        <f>SUM(E53:Next.Up)</f>
        <v>1592398.94</v>
      </c>
      <c r="F65" s="37">
        <f>SUM(F53:Next.Up)</f>
        <v>10265.079999999958</v>
      </c>
      <c r="G65" s="37">
        <f>SUM(G53:Next.Up)</f>
        <v>9300.160000000062</v>
      </c>
      <c r="H65" s="37">
        <f>SUM(H53:Next.Up)</f>
        <v>150650.40000000002</v>
      </c>
      <c r="I65" s="37">
        <f>SUM(I53:Next.Up)</f>
        <v>149685.48</v>
      </c>
      <c r="J65" s="37">
        <f>SUM(J53:Next.Up)</f>
        <v>964.9200000000055</v>
      </c>
      <c r="K65" s="37">
        <f>SUM(K53:Next.Up)</f>
        <v>10265.079999999958</v>
      </c>
    </row>
    <row r="66" spans="1:11" ht="12.75" thickBot="1">
      <c r="A66" s="5" t="s">
        <v>98</v>
      </c>
      <c r="B66" s="31"/>
      <c r="C66" s="30">
        <f aca="true" t="shared" si="9" ref="C66:K66">C52+C65</f>
        <v>0</v>
      </c>
      <c r="D66" s="30">
        <f t="shared" si="9"/>
        <v>4082941.9899999998</v>
      </c>
      <c r="E66" s="30">
        <f t="shared" si="9"/>
        <v>7967001.93</v>
      </c>
      <c r="F66" s="30">
        <f t="shared" si="9"/>
        <v>-3884059.9400000004</v>
      </c>
      <c r="G66" s="30">
        <f t="shared" si="9"/>
        <v>-3518958.29</v>
      </c>
      <c r="H66" s="30">
        <f t="shared" si="9"/>
        <v>383796.54000000004</v>
      </c>
      <c r="I66" s="30">
        <f t="shared" si="9"/>
        <v>748898.19</v>
      </c>
      <c r="J66" s="30">
        <f t="shared" si="9"/>
        <v>-365101.64999999997</v>
      </c>
      <c r="K66" s="30">
        <f t="shared" si="9"/>
        <v>-3884059.9400000004</v>
      </c>
    </row>
    <row r="67" spans="1:11" ht="12">
      <c r="A67" s="21" t="s">
        <v>99</v>
      </c>
      <c r="B67" s="22"/>
      <c r="C67" s="23">
        <f aca="true" t="shared" si="10" ref="C67:K67">C35+C39+C66</f>
        <v>-14002825.09</v>
      </c>
      <c r="D67" s="23">
        <f t="shared" si="10"/>
        <v>7289130.43</v>
      </c>
      <c r="E67" s="23">
        <f t="shared" si="10"/>
        <v>11913653.120000001</v>
      </c>
      <c r="F67" s="23">
        <f t="shared" si="10"/>
        <v>-4624522.69</v>
      </c>
      <c r="G67" s="23">
        <f t="shared" si="10"/>
        <v>-18208739.08</v>
      </c>
      <c r="H67" s="23">
        <f t="shared" si="10"/>
        <v>700674.51</v>
      </c>
      <c r="I67" s="23">
        <f t="shared" si="10"/>
        <v>1119283.21</v>
      </c>
      <c r="J67" s="23">
        <f t="shared" si="10"/>
        <v>-418608.7</v>
      </c>
      <c r="K67" s="23">
        <f t="shared" si="10"/>
        <v>-18627347.78</v>
      </c>
    </row>
    <row r="69" ht="12">
      <c r="A69" s="3" t="s">
        <v>312</v>
      </c>
    </row>
  </sheetData>
  <sheetProtection/>
  <printOptions/>
  <pageMargins left="0.37" right="0.25" top="0.72" bottom="1" header="0.5" footer="0.5"/>
  <pageSetup horizontalDpi="300" verticalDpi="300" orientation="landscape" r:id="rId2"/>
  <headerFooter alignWithMargins="0">
    <oddFooter>&amp;C© Copyright, 2003, JaxWorks, All Rights Reserved.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421875" style="81" bestFit="1" customWidth="1"/>
    <col min="2" max="2" width="25.28125" style="81" bestFit="1" customWidth="1"/>
    <col min="3" max="3" width="16.7109375" style="77" bestFit="1" customWidth="1"/>
    <col min="4" max="6" width="17.28125" style="77" bestFit="1" customWidth="1"/>
    <col min="7" max="7" width="6.8515625" style="0" customWidth="1"/>
    <col min="8" max="8" width="7.8515625" style="0" customWidth="1"/>
    <col min="9" max="183" width="17.421875" style="0" customWidth="1"/>
    <col min="184" max="232" width="11.00390625" style="0" customWidth="1"/>
    <col min="233" max="233" width="12.00390625" style="0" customWidth="1"/>
    <col min="234" max="234" width="13.57421875" style="0" customWidth="1"/>
    <col min="235" max="235" width="11.00390625" style="0" customWidth="1"/>
    <col min="236" max="236" width="10.421875" style="0" customWidth="1"/>
    <col min="237" max="237" width="12.00390625" style="0" customWidth="1"/>
    <col min="238" max="238" width="12.57421875" style="0" customWidth="1"/>
  </cols>
  <sheetData>
    <row r="1" spans="1:6" s="79" customFormat="1" ht="12.75">
      <c r="A1" s="76"/>
      <c r="B1" s="76"/>
      <c r="C1" s="77"/>
      <c r="D1" s="77"/>
      <c r="E1" s="77"/>
      <c r="F1" s="77"/>
    </row>
    <row r="2" spans="1:6" s="79" customFormat="1" ht="12.75">
      <c r="A2" s="76"/>
      <c r="B2" s="76"/>
      <c r="C2" s="77"/>
      <c r="D2" s="77"/>
      <c r="E2" s="77"/>
      <c r="F2" s="77"/>
    </row>
    <row r="3" ht="12.75"/>
    <row r="4" ht="12.75"/>
    <row r="5" spans="1:2" ht="12.75">
      <c r="A5" s="5" t="s">
        <v>0</v>
      </c>
      <c r="B5" s="80" t="s">
        <v>147</v>
      </c>
    </row>
    <row r="6" ht="3.75" customHeight="1"/>
    <row r="7" spans="1:6" ht="12.75">
      <c r="A7" s="41" t="s">
        <v>3</v>
      </c>
      <c r="B7" s="82" t="s">
        <v>4</v>
      </c>
      <c r="C7" s="83" t="s">
        <v>148</v>
      </c>
      <c r="D7" s="83" t="s">
        <v>149</v>
      </c>
      <c r="E7" s="83" t="s">
        <v>150</v>
      </c>
      <c r="F7" s="83" t="s">
        <v>151</v>
      </c>
    </row>
    <row r="8" ht="1.5" customHeight="1"/>
    <row r="9" spans="1:2" ht="12.75">
      <c r="A9" s="15" t="s">
        <v>56</v>
      </c>
      <c r="B9" s="15"/>
    </row>
    <row r="10" spans="1:6" ht="13.5" thickBot="1">
      <c r="A10" s="86" t="s">
        <v>57</v>
      </c>
      <c r="B10" s="86" t="s">
        <v>58</v>
      </c>
      <c r="C10" s="35">
        <v>537075.36</v>
      </c>
      <c r="D10" s="35">
        <v>593480.57</v>
      </c>
      <c r="E10" s="35">
        <v>640076.14</v>
      </c>
      <c r="F10" s="35">
        <v>681766.93</v>
      </c>
    </row>
    <row r="11" spans="1:6" ht="13.5" thickBot="1">
      <c r="A11" s="90" t="s">
        <v>59</v>
      </c>
      <c r="B11" s="90" t="s">
        <v>60</v>
      </c>
      <c r="C11" s="20">
        <v>322236.42</v>
      </c>
      <c r="D11" s="20">
        <v>356078.53</v>
      </c>
      <c r="E11" s="20">
        <v>384035.14</v>
      </c>
      <c r="F11" s="20">
        <v>409048.93</v>
      </c>
    </row>
    <row r="12" spans="1:6" ht="13.5" thickBot="1">
      <c r="A12" s="86" t="s">
        <v>61</v>
      </c>
      <c r="B12" s="86" t="s">
        <v>62</v>
      </c>
      <c r="C12" s="35">
        <v>523691.84</v>
      </c>
      <c r="D12" s="35">
        <v>578691.45</v>
      </c>
      <c r="E12" s="35">
        <v>624125.91</v>
      </c>
      <c r="F12" s="35">
        <v>664777.78</v>
      </c>
    </row>
    <row r="13" spans="1:6" ht="13.5" thickBot="1">
      <c r="A13" s="90" t="s">
        <v>63</v>
      </c>
      <c r="B13" s="90" t="s">
        <v>64</v>
      </c>
      <c r="C13" s="20">
        <v>13034.41</v>
      </c>
      <c r="D13" s="20">
        <v>14403.34</v>
      </c>
      <c r="E13" s="20">
        <v>15534.23</v>
      </c>
      <c r="F13" s="20">
        <v>16546.01</v>
      </c>
    </row>
    <row r="14" spans="1:6" ht="12.75">
      <c r="A14" s="36" t="s">
        <v>28</v>
      </c>
      <c r="B14" s="36" t="s">
        <v>56</v>
      </c>
      <c r="C14" s="93">
        <f>SUM(C9:C13)</f>
        <v>1396038.03</v>
      </c>
      <c r="D14" s="93">
        <f>SUM(D9:D13)</f>
        <v>1542653.89</v>
      </c>
      <c r="E14" s="93">
        <f>SUM(E9:E13)</f>
        <v>1663771.42</v>
      </c>
      <c r="F14" s="93">
        <f>SUM(F9:F13)</f>
        <v>1772139.6500000001</v>
      </c>
    </row>
    <row r="15" ht="1.5" customHeight="1"/>
    <row r="16" spans="1:2" ht="12.75">
      <c r="A16" s="15" t="s">
        <v>134</v>
      </c>
      <c r="B16" s="15"/>
    </row>
    <row r="17" spans="1:6" ht="13.5" thickBot="1">
      <c r="A17" s="86" t="s">
        <v>66</v>
      </c>
      <c r="B17" s="86" t="s">
        <v>67</v>
      </c>
      <c r="C17" s="35">
        <v>156172.83</v>
      </c>
      <c r="D17" s="35">
        <v>172574.54</v>
      </c>
      <c r="E17" s="35">
        <v>186123.81</v>
      </c>
      <c r="F17" s="35">
        <v>198246.79</v>
      </c>
    </row>
    <row r="18" spans="1:6" ht="13.5" thickBot="1">
      <c r="A18" s="90" t="s">
        <v>68</v>
      </c>
      <c r="B18" s="90" t="s">
        <v>69</v>
      </c>
      <c r="C18" s="20">
        <v>199578.86</v>
      </c>
      <c r="D18" s="20">
        <v>220539.19</v>
      </c>
      <c r="E18" s="20">
        <v>237854.26</v>
      </c>
      <c r="F18" s="20">
        <v>253346.67</v>
      </c>
    </row>
    <row r="19" spans="1:6" ht="13.5" thickBot="1">
      <c r="A19" s="86" t="s">
        <v>70</v>
      </c>
      <c r="B19" s="86" t="s">
        <v>71</v>
      </c>
      <c r="C19" s="35">
        <v>117643.73</v>
      </c>
      <c r="D19" s="35">
        <v>129999.03</v>
      </c>
      <c r="E19" s="35">
        <v>140205.53</v>
      </c>
      <c r="F19" s="35">
        <v>149337.73</v>
      </c>
    </row>
    <row r="20" spans="1:6" ht="13.5" thickBot="1">
      <c r="A20" s="90" t="s">
        <v>72</v>
      </c>
      <c r="B20" s="90" t="s">
        <v>73</v>
      </c>
      <c r="C20" s="20">
        <v>69785.45</v>
      </c>
      <c r="D20" s="20">
        <v>77114.51</v>
      </c>
      <c r="E20" s="20">
        <v>83168.93</v>
      </c>
      <c r="F20" s="20">
        <v>88586.11</v>
      </c>
    </row>
    <row r="21" spans="1:6" ht="12.75">
      <c r="A21" s="36" t="s">
        <v>28</v>
      </c>
      <c r="B21" s="36" t="s">
        <v>134</v>
      </c>
      <c r="C21" s="93">
        <f>SUM(C16:C20)</f>
        <v>543180.8699999999</v>
      </c>
      <c r="D21" s="93">
        <f>SUM(D16:D20)</f>
        <v>600227.27</v>
      </c>
      <c r="E21" s="93">
        <f>SUM(E16:E20)</f>
        <v>647352.53</v>
      </c>
      <c r="F21" s="93">
        <f>SUM(F16:F20)</f>
        <v>689517.3</v>
      </c>
    </row>
    <row r="22" ht="3" customHeight="1"/>
    <row r="23" spans="1:6" ht="12.75">
      <c r="A23" s="5" t="s">
        <v>74</v>
      </c>
      <c r="B23" s="5"/>
      <c r="C23" s="96">
        <f>REV_Total-COS_Total</f>
        <v>852857.1600000001</v>
      </c>
      <c r="D23" s="96">
        <f>REV_Total-COS_Total</f>
        <v>942426.6199999999</v>
      </c>
      <c r="E23" s="96">
        <f>REV_Total-COS_Total</f>
        <v>1016418.8899999999</v>
      </c>
      <c r="F23" s="96">
        <f>REV_Total-COS_Total</f>
        <v>1082622.35</v>
      </c>
    </row>
    <row r="24" ht="1.5" customHeight="1"/>
    <row r="25" spans="1:2" ht="12.75">
      <c r="A25" s="15" t="s">
        <v>135</v>
      </c>
      <c r="B25" s="15"/>
    </row>
    <row r="26" spans="1:6" ht="13.5" thickBot="1">
      <c r="A26" s="86" t="s">
        <v>76</v>
      </c>
      <c r="B26" s="86" t="s">
        <v>77</v>
      </c>
      <c r="C26" s="35">
        <v>-348735.36</v>
      </c>
      <c r="D26" s="35">
        <v>-385360.54</v>
      </c>
      <c r="E26" s="35">
        <v>-415616.1</v>
      </c>
      <c r="F26" s="35">
        <v>-442686.94</v>
      </c>
    </row>
    <row r="27" spans="1:6" ht="13.5" thickBot="1">
      <c r="A27" s="90" t="s">
        <v>78</v>
      </c>
      <c r="B27" s="90" t="s">
        <v>79</v>
      </c>
      <c r="C27" s="20">
        <v>12372.4</v>
      </c>
      <c r="D27" s="20">
        <v>13671.78</v>
      </c>
      <c r="E27" s="20">
        <v>14745.2</v>
      </c>
      <c r="F27" s="20">
        <v>15705.6</v>
      </c>
    </row>
    <row r="28" spans="1:6" ht="13.5" thickBot="1">
      <c r="A28" s="86" t="s">
        <v>80</v>
      </c>
      <c r="B28" s="86" t="s">
        <v>136</v>
      </c>
      <c r="C28" s="35">
        <v>19132.66</v>
      </c>
      <c r="D28" s="35">
        <v>21142.04</v>
      </c>
      <c r="E28" s="35">
        <v>22802.07</v>
      </c>
      <c r="F28" s="35">
        <v>24287.18</v>
      </c>
    </row>
    <row r="29" spans="1:6" ht="13.5" thickBot="1">
      <c r="A29" s="90" t="s">
        <v>82</v>
      </c>
      <c r="B29" s="90" t="s">
        <v>137</v>
      </c>
      <c r="C29" s="20">
        <v>53835.26</v>
      </c>
      <c r="D29" s="20">
        <v>59489.14</v>
      </c>
      <c r="E29" s="20">
        <v>64159.82</v>
      </c>
      <c r="F29" s="20">
        <v>68338.78</v>
      </c>
    </row>
    <row r="30" spans="1:6" ht="13.5" thickBot="1">
      <c r="A30" s="86" t="s">
        <v>84</v>
      </c>
      <c r="B30" s="86" t="s">
        <v>138</v>
      </c>
      <c r="C30" s="35">
        <v>59927.16</v>
      </c>
      <c r="D30" s="35">
        <v>66220.88</v>
      </c>
      <c r="E30" s="35">
        <v>71420.04</v>
      </c>
      <c r="F30" s="35">
        <v>76071.92</v>
      </c>
    </row>
    <row r="31" spans="1:6" ht="13.5" thickBot="1">
      <c r="A31" s="90" t="s">
        <v>94</v>
      </c>
      <c r="B31" s="90" t="s">
        <v>95</v>
      </c>
      <c r="C31" s="20">
        <v>16061.46</v>
      </c>
      <c r="D31" s="20">
        <v>17748.28</v>
      </c>
      <c r="E31" s="20">
        <v>19141.74</v>
      </c>
      <c r="F31" s="20">
        <v>20388.52</v>
      </c>
    </row>
    <row r="32" spans="1:6" ht="13.5" thickBot="1">
      <c r="A32" s="86" t="s">
        <v>86</v>
      </c>
      <c r="B32" s="86" t="s">
        <v>139</v>
      </c>
      <c r="C32" s="35">
        <v>25440.54</v>
      </c>
      <c r="D32" s="35">
        <v>28112.4</v>
      </c>
      <c r="E32" s="35">
        <v>30319.61</v>
      </c>
      <c r="F32" s="35">
        <v>32294.42</v>
      </c>
    </row>
    <row r="33" spans="1:6" ht="13.5" thickBot="1">
      <c r="A33" s="90" t="s">
        <v>88</v>
      </c>
      <c r="B33" s="90" t="s">
        <v>89</v>
      </c>
      <c r="C33" s="20">
        <v>61554.09</v>
      </c>
      <c r="D33" s="20">
        <v>68018.73</v>
      </c>
      <c r="E33" s="20">
        <v>73358.99</v>
      </c>
      <c r="F33" s="20">
        <v>78137.2</v>
      </c>
    </row>
    <row r="34" spans="1:6" ht="13.5" thickBot="1">
      <c r="A34" s="86" t="s">
        <v>90</v>
      </c>
      <c r="B34" s="86" t="s">
        <v>91</v>
      </c>
      <c r="C34" s="35">
        <v>42845.8</v>
      </c>
      <c r="D34" s="35">
        <v>47345.62</v>
      </c>
      <c r="E34" s="35">
        <v>51062.81</v>
      </c>
      <c r="F34" s="35">
        <v>54388.77</v>
      </c>
    </row>
    <row r="35" spans="1:6" ht="13.5" thickBot="1">
      <c r="A35" s="90" t="s">
        <v>92</v>
      </c>
      <c r="B35" s="90" t="s">
        <v>93</v>
      </c>
      <c r="C35" s="20">
        <v>10188.54</v>
      </c>
      <c r="D35" s="20">
        <v>11258.58</v>
      </c>
      <c r="E35" s="20">
        <v>12142.48</v>
      </c>
      <c r="F35" s="20">
        <v>12933.4</v>
      </c>
    </row>
    <row r="36" spans="1:6" ht="12.75">
      <c r="A36" s="36" t="s">
        <v>28</v>
      </c>
      <c r="B36" s="36" t="s">
        <v>135</v>
      </c>
      <c r="C36" s="93">
        <f>SUM(C25:C35)</f>
        <v>-47377.449999999975</v>
      </c>
      <c r="D36" s="93">
        <f>SUM(D25:D35)</f>
        <v>-52353.08999999996</v>
      </c>
      <c r="E36" s="93">
        <f>SUM(E25:E35)</f>
        <v>-56463.34</v>
      </c>
      <c r="F36" s="93">
        <f>SUM(F25:F35)</f>
        <v>-60141.150000000016</v>
      </c>
    </row>
    <row r="37" ht="1.5" customHeight="1"/>
    <row r="38" spans="1:2" ht="12.75">
      <c r="A38" s="15" t="s">
        <v>140</v>
      </c>
      <c r="B38" s="15"/>
    </row>
    <row r="39" spans="1:6" ht="13.5" thickBot="1">
      <c r="A39" s="86" t="s">
        <v>141</v>
      </c>
      <c r="B39" s="86" t="s">
        <v>142</v>
      </c>
      <c r="C39" s="35">
        <v>0</v>
      </c>
      <c r="D39" s="35">
        <v>0</v>
      </c>
      <c r="E39" s="35">
        <v>0</v>
      </c>
      <c r="F39" s="35">
        <v>0</v>
      </c>
    </row>
    <row r="40" spans="1:6" ht="12.75">
      <c r="A40" s="98" t="s">
        <v>28</v>
      </c>
      <c r="B40" s="98" t="s">
        <v>140</v>
      </c>
      <c r="C40" s="99">
        <f>SUM(C38:C39)</f>
        <v>0</v>
      </c>
      <c r="D40" s="99">
        <f>SUM(D38:D39)</f>
        <v>0</v>
      </c>
      <c r="E40" s="99">
        <f>SUM(E38:E39)</f>
        <v>0</v>
      </c>
      <c r="F40" s="99">
        <f>SUM(F38:F39)</f>
        <v>0</v>
      </c>
    </row>
    <row r="41" ht="1.5" customHeight="1"/>
    <row r="42" spans="1:2" ht="12.75">
      <c r="A42" s="15" t="s">
        <v>143</v>
      </c>
      <c r="B42" s="15"/>
    </row>
    <row r="43" spans="1:6" ht="13.5" thickBot="1">
      <c r="A43" s="86" t="s">
        <v>141</v>
      </c>
      <c r="B43" s="86" t="s">
        <v>142</v>
      </c>
      <c r="C43" s="35">
        <v>0</v>
      </c>
      <c r="D43" s="35">
        <v>0</v>
      </c>
      <c r="E43" s="35">
        <v>0</v>
      </c>
      <c r="F43" s="35">
        <v>0</v>
      </c>
    </row>
    <row r="44" spans="1:6" ht="12.75">
      <c r="A44" s="98" t="s">
        <v>28</v>
      </c>
      <c r="B44" s="98" t="s">
        <v>143</v>
      </c>
      <c r="C44" s="99">
        <f>SUM(C42:C43)</f>
        <v>0</v>
      </c>
      <c r="D44" s="99">
        <f>SUM(D42:D43)</f>
        <v>0</v>
      </c>
      <c r="E44" s="99">
        <f>SUM(E42:E43)</f>
        <v>0</v>
      </c>
      <c r="F44" s="99">
        <f>SUM(F42:F43)</f>
        <v>0</v>
      </c>
    </row>
    <row r="45" ht="3" customHeight="1"/>
    <row r="46" spans="1:6" ht="12.75">
      <c r="A46" s="5" t="s">
        <v>144</v>
      </c>
      <c r="B46" s="5"/>
      <c r="C46" s="96">
        <f>(Gross_Profit_Calc+OI_Total)-OOE_Total-OE_Total</f>
        <v>900234.6100000001</v>
      </c>
      <c r="D46" s="96">
        <f>(Gross_Profit_Calc+OI_Total)-OOE_Total-OE_Total</f>
        <v>994779.7099999998</v>
      </c>
      <c r="E46" s="96">
        <f>(Gross_Profit_Calc+OI_Total)-OOE_Total-OE_Total</f>
        <v>1072882.23</v>
      </c>
      <c r="F46" s="96">
        <f>(Gross_Profit_Calc+OI_Total)-OOE_Total-OE_Total</f>
        <v>1142763.5</v>
      </c>
    </row>
    <row r="47" ht="1.5" customHeight="1"/>
    <row r="48" spans="1:2" ht="12.75">
      <c r="A48" s="15" t="s">
        <v>145</v>
      </c>
      <c r="B48" s="15"/>
    </row>
    <row r="49" spans="1:6" ht="13.5" thickBot="1">
      <c r="A49" s="86" t="s">
        <v>96</v>
      </c>
      <c r="B49" s="86" t="s">
        <v>97</v>
      </c>
      <c r="C49" s="35">
        <v>49625.55</v>
      </c>
      <c r="D49" s="35">
        <v>54837.17</v>
      </c>
      <c r="E49" s="35">
        <v>59142.61</v>
      </c>
      <c r="F49" s="35">
        <v>62994.78</v>
      </c>
    </row>
    <row r="50" spans="1:6" ht="12.75">
      <c r="A50" s="98" t="s">
        <v>28</v>
      </c>
      <c r="B50" s="98" t="s">
        <v>145</v>
      </c>
      <c r="C50" s="99">
        <f>SUM(C48:C49)</f>
        <v>49625.55</v>
      </c>
      <c r="D50" s="99">
        <f>SUM(D48:D49)</f>
        <v>54837.17</v>
      </c>
      <c r="E50" s="99">
        <f>SUM(E48:E49)</f>
        <v>59142.61</v>
      </c>
      <c r="F50" s="99">
        <f>SUM(F48:F49)</f>
        <v>62994.78</v>
      </c>
    </row>
    <row r="51" ht="3" customHeight="1"/>
    <row r="52" spans="1:6" ht="12.75">
      <c r="A52" s="5" t="s">
        <v>146</v>
      </c>
      <c r="B52" s="5"/>
      <c r="C52" s="96">
        <f>NetIncome_before_Tax-IT_Total</f>
        <v>850609.06</v>
      </c>
      <c r="D52" s="96">
        <f>NetIncome_before_Tax-IT_Total</f>
        <v>939942.5399999998</v>
      </c>
      <c r="E52" s="96">
        <f>NetIncome_before_Tax-IT_Total</f>
        <v>1013739.62</v>
      </c>
      <c r="F52" s="96">
        <f>NetIncome_before_Tax-IT_Total</f>
        <v>1079768.72</v>
      </c>
    </row>
    <row r="54" ht="12.75">
      <c r="A54" s="81" t="s">
        <v>312</v>
      </c>
    </row>
  </sheetData>
  <sheetProtection/>
  <printOptions/>
  <pageMargins left="0.37" right="0.25" top="0.72" bottom="1" header="0.5" footer="0.5"/>
  <pageSetup fitToWidth="2" horizontalDpi="300" verticalDpi="300" orientation="portrait" r:id="rId2"/>
  <headerFooter alignWithMargins="0">
    <oddFooter>&amp;C© Copyright, 2003, JaxWorks, All Rights Reserved.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16"/>
  <sheetViews>
    <sheetView showGridLines="0" zoomScalePageLayoutView="0" workbookViewId="0" topLeftCell="A51">
      <selection activeCell="A52" sqref="A52"/>
    </sheetView>
  </sheetViews>
  <sheetFormatPr defaultColWidth="9.140625" defaultRowHeight="12.75"/>
  <cols>
    <col min="1" max="1" width="5.28125" style="2" customWidth="1"/>
    <col min="2" max="2" width="36.140625" style="2" customWidth="1"/>
    <col min="3" max="3" width="19.140625" style="3" customWidth="1"/>
    <col min="4" max="8" width="12.57421875" style="2" bestFit="1" customWidth="1"/>
    <col min="9" max="9" width="12.00390625" style="2" bestFit="1" customWidth="1"/>
    <col min="10" max="13" width="12.57421875" style="2" bestFit="1" customWidth="1"/>
    <col min="14" max="14" width="12.00390625" style="2" bestFit="1" customWidth="1"/>
    <col min="15" max="15" width="12.57421875" style="2" bestFit="1" customWidth="1"/>
    <col min="16" max="16384" width="9.140625" style="2" customWidth="1"/>
  </cols>
  <sheetData>
    <row r="1" ht="12"/>
    <row r="2" ht="12.75">
      <c r="A2" s="102" t="s">
        <v>153</v>
      </c>
    </row>
    <row r="3" ht="12.75">
      <c r="A3" s="102" t="s">
        <v>154</v>
      </c>
    </row>
    <row r="4" spans="3:16" ht="12.75">
      <c r="C4" s="73" t="s">
        <v>155</v>
      </c>
      <c r="D4" s="2">
        <v>1201</v>
      </c>
      <c r="E4" s="2">
        <v>1202</v>
      </c>
      <c r="F4" s="2">
        <v>1203</v>
      </c>
      <c r="G4" s="2">
        <v>1204</v>
      </c>
      <c r="H4" s="2">
        <v>1205</v>
      </c>
      <c r="I4" s="2">
        <v>1206</v>
      </c>
      <c r="J4" s="2">
        <v>1207</v>
      </c>
      <c r="K4" s="2">
        <v>1208</v>
      </c>
      <c r="L4" s="2">
        <v>1209</v>
      </c>
      <c r="M4" s="2">
        <v>1210</v>
      </c>
      <c r="N4" s="2">
        <v>1211</v>
      </c>
      <c r="O4" s="2">
        <v>1212</v>
      </c>
      <c r="P4"/>
    </row>
    <row r="5" spans="1:16" ht="12.75">
      <c r="A5" s="2" t="s">
        <v>156</v>
      </c>
      <c r="C5" s="16" t="s">
        <v>157</v>
      </c>
      <c r="D5" s="2">
        <v>142872.08</v>
      </c>
      <c r="E5" s="2">
        <v>146221.73</v>
      </c>
      <c r="F5" s="2">
        <v>149757.48</v>
      </c>
      <c r="G5" s="2">
        <v>153386.28</v>
      </c>
      <c r="H5" s="2">
        <v>157154.64</v>
      </c>
      <c r="I5" s="2">
        <v>161016.06</v>
      </c>
      <c r="J5" s="2">
        <v>164970.51</v>
      </c>
      <c r="K5" s="2">
        <v>169018</v>
      </c>
      <c r="L5" s="2">
        <v>173158.54</v>
      </c>
      <c r="M5" s="2">
        <v>177392.14</v>
      </c>
      <c r="N5" s="2">
        <v>181718.78</v>
      </c>
      <c r="O5" s="2">
        <v>186091.94</v>
      </c>
      <c r="P5"/>
    </row>
    <row r="6" spans="1:16" ht="12.75">
      <c r="A6" s="2" t="s">
        <v>158</v>
      </c>
      <c r="C6" s="16" t="s">
        <v>159</v>
      </c>
      <c r="D6" s="2">
        <v>754922.48</v>
      </c>
      <c r="E6" s="2">
        <v>772621.75</v>
      </c>
      <c r="F6" s="2">
        <v>791304.3</v>
      </c>
      <c r="G6" s="2">
        <v>810478.48</v>
      </c>
      <c r="H6" s="2">
        <v>830390.15</v>
      </c>
      <c r="I6" s="2">
        <v>850793.44</v>
      </c>
      <c r="J6" s="2">
        <v>871688.4</v>
      </c>
      <c r="K6" s="2">
        <v>893075.02</v>
      </c>
      <c r="L6" s="2">
        <v>914953.26</v>
      </c>
      <c r="M6" s="2">
        <v>937323.16</v>
      </c>
      <c r="N6" s="2">
        <v>960184.68</v>
      </c>
      <c r="O6" s="2">
        <v>983292.04</v>
      </c>
      <c r="P6"/>
    </row>
    <row r="7" spans="1:16" ht="12.75">
      <c r="A7" s="2" t="s">
        <v>160</v>
      </c>
      <c r="C7" s="16" t="s">
        <v>161</v>
      </c>
      <c r="D7" s="2">
        <v>17453.44</v>
      </c>
      <c r="E7" s="2">
        <v>17699.27</v>
      </c>
      <c r="F7" s="2">
        <v>18682.55</v>
      </c>
      <c r="G7" s="2">
        <v>19174.18</v>
      </c>
      <c r="H7" s="2">
        <v>19911.67</v>
      </c>
      <c r="I7" s="2">
        <v>20403.29</v>
      </c>
      <c r="J7" s="2">
        <v>20894.96</v>
      </c>
      <c r="K7" s="2">
        <v>21386.62</v>
      </c>
      <c r="L7" s="2">
        <v>21878.24</v>
      </c>
      <c r="M7" s="2">
        <v>22369.9</v>
      </c>
      <c r="N7" s="2">
        <v>22861.52</v>
      </c>
      <c r="O7" s="2">
        <v>23107.36</v>
      </c>
      <c r="P7"/>
    </row>
    <row r="8" spans="1:16" ht="12.75">
      <c r="A8" s="2" t="s">
        <v>162</v>
      </c>
      <c r="C8" s="16" t="s">
        <v>163</v>
      </c>
      <c r="D8" s="2">
        <v>2091979.38</v>
      </c>
      <c r="E8" s="2">
        <v>2122966.3</v>
      </c>
      <c r="F8" s="2">
        <v>2155971.41</v>
      </c>
      <c r="G8" s="2">
        <v>2189627.51</v>
      </c>
      <c r="H8" s="2">
        <v>2224670.89</v>
      </c>
      <c r="I8" s="2">
        <v>2260476.28</v>
      </c>
      <c r="J8" s="2">
        <v>2297136.03</v>
      </c>
      <c r="K8" s="2">
        <v>2334648.46</v>
      </c>
      <c r="L8" s="2">
        <v>2373023.24</v>
      </c>
      <c r="M8" s="2">
        <v>2412263.3</v>
      </c>
      <c r="N8" s="2">
        <v>2452349.75</v>
      </c>
      <c r="O8" s="2">
        <v>2492777.8</v>
      </c>
      <c r="P8"/>
    </row>
    <row r="9" spans="1:16" ht="12.75">
      <c r="A9" s="2" t="s">
        <v>164</v>
      </c>
      <c r="C9" s="16" t="s">
        <v>165</v>
      </c>
      <c r="D9" s="2">
        <v>10811024.07</v>
      </c>
      <c r="E9" s="2">
        <v>11038317.17</v>
      </c>
      <c r="F9" s="2">
        <v>11292750.47</v>
      </c>
      <c r="G9" s="2">
        <v>11543446.91</v>
      </c>
      <c r="H9" s="2">
        <v>11808643.18</v>
      </c>
      <c r="I9" s="2">
        <v>12075404.08</v>
      </c>
      <c r="J9" s="2">
        <v>12348207.63</v>
      </c>
      <c r="K9" s="2">
        <v>12627462.79</v>
      </c>
      <c r="L9" s="2">
        <v>12912829.13</v>
      </c>
      <c r="M9" s="2">
        <v>13204471.48</v>
      </c>
      <c r="N9" s="2">
        <v>13502493.97</v>
      </c>
      <c r="O9" s="2">
        <v>13298358.14</v>
      </c>
      <c r="P9"/>
    </row>
    <row r="10" spans="1:16" ht="12.75">
      <c r="A10" s="2" t="s">
        <v>166</v>
      </c>
      <c r="C10" s="16" t="s">
        <v>167</v>
      </c>
      <c r="D10" s="2">
        <v>3303.14</v>
      </c>
      <c r="E10" s="2">
        <v>3349.65</v>
      </c>
      <c r="F10" s="2">
        <v>3535.75</v>
      </c>
      <c r="G10" s="2">
        <v>3628.8</v>
      </c>
      <c r="H10" s="2">
        <v>3768.36</v>
      </c>
      <c r="I10" s="2">
        <v>3861.42</v>
      </c>
      <c r="J10" s="2">
        <v>3954.45</v>
      </c>
      <c r="K10" s="2">
        <v>4047.49</v>
      </c>
      <c r="L10" s="2">
        <v>4140.54</v>
      </c>
      <c r="M10" s="2">
        <v>4233.6</v>
      </c>
      <c r="N10" s="2">
        <v>4326.64</v>
      </c>
      <c r="O10" s="2">
        <v>4373.16</v>
      </c>
      <c r="P10"/>
    </row>
    <row r="11" spans="1:16" ht="12.75">
      <c r="A11" s="2" t="s">
        <v>168</v>
      </c>
      <c r="C11" s="16" t="s">
        <v>169</v>
      </c>
      <c r="D11" s="2">
        <v>3708613.46</v>
      </c>
      <c r="E11" s="2">
        <v>3815144.11</v>
      </c>
      <c r="F11" s="2">
        <v>3902712.6</v>
      </c>
      <c r="G11" s="2">
        <v>4011137.55</v>
      </c>
      <c r="H11" s="2">
        <v>4113827.55</v>
      </c>
      <c r="I11" s="2">
        <v>4227144.74</v>
      </c>
      <c r="J11" s="2">
        <v>4344311.41</v>
      </c>
      <c r="K11" s="2">
        <v>4466516.45</v>
      </c>
      <c r="L11" s="2">
        <v>4591288.34</v>
      </c>
      <c r="M11" s="2">
        <v>4720332.19</v>
      </c>
      <c r="N11" s="2">
        <v>4851115.47</v>
      </c>
      <c r="O11" s="2">
        <v>5494106.72</v>
      </c>
      <c r="P11"/>
    </row>
    <row r="12" spans="1:16" ht="12.75">
      <c r="A12" s="2" t="s">
        <v>134</v>
      </c>
      <c r="C12" s="16" t="s">
        <v>170</v>
      </c>
      <c r="D12" s="2">
        <v>176099.71</v>
      </c>
      <c r="E12" s="2">
        <v>178580.04</v>
      </c>
      <c r="F12" s="2">
        <v>188501.12</v>
      </c>
      <c r="G12" s="2">
        <v>193461.66</v>
      </c>
      <c r="H12" s="2">
        <v>200902.5</v>
      </c>
      <c r="I12" s="2">
        <v>205863.11</v>
      </c>
      <c r="J12" s="2">
        <v>210823.62</v>
      </c>
      <c r="K12" s="2">
        <v>215784.16</v>
      </c>
      <c r="L12" s="2">
        <v>220744.75</v>
      </c>
      <c r="M12" s="2">
        <v>225705.28</v>
      </c>
      <c r="N12" s="2">
        <v>230665.88</v>
      </c>
      <c r="O12" s="2">
        <v>233146.14</v>
      </c>
      <c r="P12"/>
    </row>
    <row r="13" spans="1:16" ht="12.75">
      <c r="A13" s="2" t="s">
        <v>171</v>
      </c>
      <c r="C13" s="16" t="s">
        <v>172</v>
      </c>
      <c r="D13" s="2">
        <v>7653</v>
      </c>
      <c r="E13" s="2">
        <v>7833</v>
      </c>
      <c r="F13" s="2">
        <v>8004</v>
      </c>
      <c r="G13" s="2">
        <v>8237</v>
      </c>
      <c r="H13" s="2">
        <v>8411</v>
      </c>
      <c r="I13" s="2">
        <v>8664</v>
      </c>
      <c r="J13" s="2">
        <v>8842</v>
      </c>
      <c r="K13" s="2">
        <v>9081</v>
      </c>
      <c r="L13" s="2">
        <v>9312</v>
      </c>
      <c r="M13" s="2">
        <v>9538</v>
      </c>
      <c r="N13" s="2">
        <v>9741</v>
      </c>
      <c r="O13" s="2">
        <v>9952</v>
      </c>
      <c r="P13"/>
    </row>
    <row r="14" spans="1:16" ht="12.75">
      <c r="A14" s="2" t="s">
        <v>173</v>
      </c>
      <c r="C14" s="16" t="s">
        <v>174</v>
      </c>
      <c r="D14" s="2">
        <v>5207.14</v>
      </c>
      <c r="E14" s="2">
        <v>5280.48</v>
      </c>
      <c r="F14" s="2">
        <v>5573.84</v>
      </c>
      <c r="G14" s="2">
        <v>5720.52</v>
      </c>
      <c r="H14" s="2">
        <v>5940.54</v>
      </c>
      <c r="I14" s="2">
        <v>6087.22</v>
      </c>
      <c r="J14" s="2">
        <v>6233.9</v>
      </c>
      <c r="K14" s="2">
        <v>6380.58</v>
      </c>
      <c r="L14" s="2">
        <v>6527.26</v>
      </c>
      <c r="M14" s="2">
        <v>6673.94</v>
      </c>
      <c r="N14" s="2">
        <v>6820.62</v>
      </c>
      <c r="O14" s="2">
        <v>6893.96</v>
      </c>
      <c r="P14"/>
    </row>
    <row r="15" spans="1:16" ht="12.75">
      <c r="A15" s="2" t="s">
        <v>25</v>
      </c>
      <c r="C15" s="16" t="s">
        <v>175</v>
      </c>
      <c r="D15" s="2">
        <v>792658.65</v>
      </c>
      <c r="E15" s="2">
        <v>801371.05</v>
      </c>
      <c r="F15" s="2">
        <v>820449.22</v>
      </c>
      <c r="G15" s="2">
        <v>830609.6</v>
      </c>
      <c r="H15" s="2">
        <v>845358.6</v>
      </c>
      <c r="I15" s="2">
        <v>855424.6</v>
      </c>
      <c r="J15" s="2">
        <v>865376.65</v>
      </c>
      <c r="K15" s="2">
        <v>875508.2</v>
      </c>
      <c r="L15" s="2">
        <v>885566.83</v>
      </c>
      <c r="M15" s="2">
        <v>895807.63</v>
      </c>
      <c r="N15" s="2">
        <v>905835.1</v>
      </c>
      <c r="O15" s="2">
        <v>911220.9</v>
      </c>
      <c r="P15"/>
    </row>
    <row r="16" spans="1:16" ht="12.75">
      <c r="A16" s="2" t="s">
        <v>145</v>
      </c>
      <c r="C16" s="16" t="s">
        <v>176</v>
      </c>
      <c r="D16" s="2">
        <v>16088.69</v>
      </c>
      <c r="E16" s="2">
        <v>16315.19</v>
      </c>
      <c r="F16" s="2">
        <v>17221.67</v>
      </c>
      <c r="G16" s="2">
        <v>17674.81</v>
      </c>
      <c r="H16" s="2">
        <v>18354.6</v>
      </c>
      <c r="I16" s="2">
        <v>18807.76</v>
      </c>
      <c r="J16" s="2">
        <v>19261</v>
      </c>
      <c r="K16" s="2">
        <v>19714.21</v>
      </c>
      <c r="L16" s="2">
        <v>20167.4</v>
      </c>
      <c r="M16" s="2">
        <v>20620.68</v>
      </c>
      <c r="N16" s="2">
        <v>21073.77</v>
      </c>
      <c r="O16" s="2">
        <v>21300.33</v>
      </c>
      <c r="P16"/>
    </row>
    <row r="17" spans="1:16" ht="12.75">
      <c r="A17" s="2" t="s">
        <v>177</v>
      </c>
      <c r="C17" s="16" t="s">
        <v>178</v>
      </c>
      <c r="D17" s="2">
        <v>12615</v>
      </c>
      <c r="E17" s="2">
        <v>13011</v>
      </c>
      <c r="F17" s="2">
        <v>13330</v>
      </c>
      <c r="G17" s="2">
        <v>13689</v>
      </c>
      <c r="H17" s="2">
        <v>14013</v>
      </c>
      <c r="I17" s="2">
        <v>14365</v>
      </c>
      <c r="J17" s="2">
        <v>14783</v>
      </c>
      <c r="K17" s="2">
        <v>15174</v>
      </c>
      <c r="L17" s="2">
        <v>15521</v>
      </c>
      <c r="M17" s="2">
        <v>15869</v>
      </c>
      <c r="N17" s="2">
        <v>16187</v>
      </c>
      <c r="O17" s="2">
        <v>16466</v>
      </c>
      <c r="P17"/>
    </row>
    <row r="18" spans="1:16" ht="12.75">
      <c r="A18" s="2" t="s">
        <v>179</v>
      </c>
      <c r="C18" s="16" t="s">
        <v>180</v>
      </c>
      <c r="D18" s="2">
        <v>452596.78</v>
      </c>
      <c r="E18" s="2">
        <v>458971.42</v>
      </c>
      <c r="F18" s="2">
        <v>484469.83</v>
      </c>
      <c r="G18" s="2">
        <v>497219.06</v>
      </c>
      <c r="H18" s="2">
        <v>516342.79</v>
      </c>
      <c r="I18" s="2">
        <v>529092.04</v>
      </c>
      <c r="J18" s="2">
        <v>541841.26</v>
      </c>
      <c r="K18" s="2">
        <v>554590.43</v>
      </c>
      <c r="L18" s="2">
        <v>567339.73</v>
      </c>
      <c r="M18" s="2">
        <v>580088.84</v>
      </c>
      <c r="N18" s="2">
        <v>592838.1</v>
      </c>
      <c r="O18" s="2">
        <v>599212.71</v>
      </c>
      <c r="P18"/>
    </row>
    <row r="19" spans="1:16" ht="12.75">
      <c r="A19" s="2" t="s">
        <v>181</v>
      </c>
      <c r="C19" s="16" t="s">
        <v>182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/>
    </row>
    <row r="20" spans="1:16" ht="12.75">
      <c r="A20" s="2" t="s">
        <v>183</v>
      </c>
      <c r="C20" s="16" t="s">
        <v>184</v>
      </c>
      <c r="D20" s="2">
        <v>67231</v>
      </c>
      <c r="E20" s="2">
        <v>69118</v>
      </c>
      <c r="F20" s="2">
        <v>70958</v>
      </c>
      <c r="G20" s="2">
        <v>72821</v>
      </c>
      <c r="H20" s="2">
        <v>74589</v>
      </c>
      <c r="I20" s="2">
        <v>76676</v>
      </c>
      <c r="J20" s="2">
        <v>78733</v>
      </c>
      <c r="K20" s="2">
        <v>80556</v>
      </c>
      <c r="L20" s="2">
        <v>82434</v>
      </c>
      <c r="M20" s="2">
        <v>84381</v>
      </c>
      <c r="N20" s="2">
        <v>86416</v>
      </c>
      <c r="O20" s="2">
        <v>88220</v>
      </c>
      <c r="P20"/>
    </row>
    <row r="21" spans="1:16" ht="12.75">
      <c r="A21" s="2" t="s">
        <v>185</v>
      </c>
      <c r="C21" s="16" t="s">
        <v>186</v>
      </c>
      <c r="D21" s="2">
        <v>432570.72</v>
      </c>
      <c r="E21" s="2">
        <v>444587.72</v>
      </c>
      <c r="F21" s="2">
        <v>456497.72</v>
      </c>
      <c r="G21" s="2">
        <v>467540.72</v>
      </c>
      <c r="H21" s="2">
        <v>477983.72</v>
      </c>
      <c r="I21" s="2">
        <v>487091.72</v>
      </c>
      <c r="J21" s="2">
        <v>496725.72</v>
      </c>
      <c r="K21" s="2">
        <v>508599.72</v>
      </c>
      <c r="L21" s="2">
        <v>519892.72</v>
      </c>
      <c r="M21" s="2">
        <v>532787.72</v>
      </c>
      <c r="N21" s="2">
        <v>544527.72</v>
      </c>
      <c r="O21" s="2">
        <v>556855.72</v>
      </c>
      <c r="P21"/>
    </row>
    <row r="22" spans="1:16" ht="12.75">
      <c r="A22" s="2" t="s">
        <v>187</v>
      </c>
      <c r="C22" s="16" t="s">
        <v>188</v>
      </c>
      <c r="D22" s="2">
        <v>16033</v>
      </c>
      <c r="E22" s="2">
        <v>16453</v>
      </c>
      <c r="F22" s="2">
        <v>16896</v>
      </c>
      <c r="G22" s="2">
        <v>17333</v>
      </c>
      <c r="H22" s="2">
        <v>17747</v>
      </c>
      <c r="I22" s="2">
        <v>18165</v>
      </c>
      <c r="J22" s="2">
        <v>18578</v>
      </c>
      <c r="K22" s="2">
        <v>19041</v>
      </c>
      <c r="L22" s="2">
        <v>19431</v>
      </c>
      <c r="M22" s="2">
        <v>19850</v>
      </c>
      <c r="N22" s="2">
        <v>20270</v>
      </c>
      <c r="O22" s="2">
        <v>20668</v>
      </c>
      <c r="P22"/>
    </row>
    <row r="23" spans="1:16" ht="12.75">
      <c r="A23" s="2" t="s">
        <v>189</v>
      </c>
      <c r="C23" s="16" t="s">
        <v>190</v>
      </c>
      <c r="D23" s="2">
        <v>12812.48</v>
      </c>
      <c r="E23" s="2">
        <v>13038.48</v>
      </c>
      <c r="F23" s="2">
        <v>13245.48</v>
      </c>
      <c r="G23" s="2">
        <v>13449.48</v>
      </c>
      <c r="H23" s="2">
        <v>13633.48</v>
      </c>
      <c r="I23" s="2">
        <v>13858.48</v>
      </c>
      <c r="J23" s="2">
        <v>14015.48</v>
      </c>
      <c r="K23" s="2">
        <v>14186.48</v>
      </c>
      <c r="L23" s="2">
        <v>14372.48</v>
      </c>
      <c r="M23" s="2">
        <v>14606.48</v>
      </c>
      <c r="N23" s="2">
        <v>14795.48</v>
      </c>
      <c r="O23" s="2">
        <v>15056.48</v>
      </c>
      <c r="P23"/>
    </row>
    <row r="24" spans="1:16" ht="12.75">
      <c r="A24" s="2" t="s">
        <v>191</v>
      </c>
      <c r="C24" s="16" t="s">
        <v>192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/>
    </row>
    <row r="25" spans="1:16" ht="12.75">
      <c r="A25" s="2" t="s">
        <v>193</v>
      </c>
      <c r="C25" s="16" t="s">
        <v>194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/>
    </row>
    <row r="26" spans="1:16" ht="12.75">
      <c r="A26" s="2" t="s">
        <v>195</v>
      </c>
      <c r="C26" s="16" t="s">
        <v>196</v>
      </c>
      <c r="D26" s="2">
        <v>-41323.54</v>
      </c>
      <c r="E26" s="2">
        <v>-41905.52</v>
      </c>
      <c r="F26" s="2">
        <v>-44233.65</v>
      </c>
      <c r="G26" s="2">
        <v>-45397.6</v>
      </c>
      <c r="H26" s="2">
        <v>-47143.74</v>
      </c>
      <c r="I26" s="2">
        <v>-48307.75</v>
      </c>
      <c r="J26" s="2">
        <v>-49471.78</v>
      </c>
      <c r="K26" s="2">
        <v>-50635.84</v>
      </c>
      <c r="L26" s="2">
        <v>-51799.76</v>
      </c>
      <c r="M26" s="2">
        <v>-52964</v>
      </c>
      <c r="N26" s="2">
        <v>-54127.96</v>
      </c>
      <c r="O26" s="2">
        <v>-54709.89</v>
      </c>
      <c r="P26"/>
    </row>
    <row r="27" spans="1:16" ht="12.75">
      <c r="A27" s="2" t="s">
        <v>197</v>
      </c>
      <c r="C27" s="16" t="s">
        <v>198</v>
      </c>
      <c r="D27" s="2">
        <v>-12187</v>
      </c>
      <c r="E27" s="2">
        <v>-12523</v>
      </c>
      <c r="F27" s="2">
        <v>-12867</v>
      </c>
      <c r="G27" s="2">
        <v>-13194</v>
      </c>
      <c r="H27" s="2">
        <v>-13554</v>
      </c>
      <c r="I27" s="2">
        <v>-13818</v>
      </c>
      <c r="J27" s="2">
        <v>-14169</v>
      </c>
      <c r="K27" s="2">
        <v>-14512</v>
      </c>
      <c r="L27" s="2">
        <v>-14845</v>
      </c>
      <c r="M27" s="2">
        <v>-15142</v>
      </c>
      <c r="N27" s="2">
        <v>-15488</v>
      </c>
      <c r="O27" s="2">
        <v>-15842</v>
      </c>
      <c r="P27"/>
    </row>
    <row r="28" spans="1:16" ht="12.75">
      <c r="A28" s="2" t="s">
        <v>199</v>
      </c>
      <c r="C28" s="16" t="s">
        <v>200</v>
      </c>
      <c r="D28" s="2">
        <v>11652179.84</v>
      </c>
      <c r="E28" s="2">
        <v>11652179.84</v>
      </c>
      <c r="F28" s="2">
        <v>11652179.84</v>
      </c>
      <c r="G28" s="2">
        <v>11652179.84</v>
      </c>
      <c r="H28" s="2">
        <v>11652179.84</v>
      </c>
      <c r="I28" s="2">
        <v>11652179.84</v>
      </c>
      <c r="J28" s="2">
        <v>11652179.84</v>
      </c>
      <c r="K28" s="2">
        <v>11652179.84</v>
      </c>
      <c r="L28" s="2">
        <v>11652179.84</v>
      </c>
      <c r="M28" s="2">
        <v>11652179.84</v>
      </c>
      <c r="N28" s="2">
        <v>11652179.84</v>
      </c>
      <c r="O28" s="2">
        <v>11652179.84</v>
      </c>
      <c r="P28"/>
    </row>
    <row r="29" spans="1:16" ht="12.75">
      <c r="A29" s="2" t="s">
        <v>201</v>
      </c>
      <c r="C29" s="16" t="s">
        <v>202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/>
    </row>
    <row r="30" spans="1:15" ht="12.75">
      <c r="A30" s="16" t="s">
        <v>203</v>
      </c>
      <c r="C30" s="16" t="s">
        <v>204</v>
      </c>
      <c r="D30" s="2">
        <v>2000</v>
      </c>
      <c r="E30" s="2">
        <v>2000</v>
      </c>
      <c r="F30" s="2">
        <v>2000</v>
      </c>
      <c r="G30" s="2">
        <v>2000</v>
      </c>
      <c r="H30" s="2">
        <v>2000</v>
      </c>
      <c r="I30" s="2">
        <v>2000</v>
      </c>
      <c r="J30" s="2">
        <v>2000</v>
      </c>
      <c r="K30" s="2">
        <v>2000</v>
      </c>
      <c r="L30" s="2">
        <v>2000</v>
      </c>
      <c r="M30" s="2">
        <v>2000</v>
      </c>
      <c r="N30" s="2">
        <v>2000</v>
      </c>
      <c r="O30" s="2">
        <v>2000</v>
      </c>
    </row>
    <row r="31" spans="1:15" ht="12.75">
      <c r="A31" s="16" t="s">
        <v>205</v>
      </c>
      <c r="C31" s="16" t="s">
        <v>206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</row>
    <row r="32" spans="1:15" ht="12.75">
      <c r="A32" s="2" t="s">
        <v>207</v>
      </c>
      <c r="C32" s="16" t="s">
        <v>208</v>
      </c>
      <c r="D32" s="2">
        <v>1201</v>
      </c>
      <c r="E32" s="2">
        <v>1202</v>
      </c>
      <c r="F32" s="2">
        <v>1203</v>
      </c>
      <c r="G32" s="2">
        <v>1204</v>
      </c>
      <c r="H32" s="2">
        <v>1205</v>
      </c>
      <c r="I32" s="2">
        <v>1206</v>
      </c>
      <c r="J32" s="2">
        <v>1207</v>
      </c>
      <c r="K32" s="2">
        <v>1208</v>
      </c>
      <c r="L32" s="2">
        <v>1209</v>
      </c>
      <c r="M32" s="2">
        <v>1210</v>
      </c>
      <c r="N32" s="2">
        <v>1211</v>
      </c>
      <c r="O32" s="2">
        <v>1212</v>
      </c>
    </row>
    <row r="33" spans="1:15" ht="12.75">
      <c r="A33" s="2" t="s">
        <v>209</v>
      </c>
      <c r="C33" s="16" t="s">
        <v>210</v>
      </c>
      <c r="D33" s="2">
        <v>30</v>
      </c>
      <c r="E33" s="2">
        <v>31</v>
      </c>
      <c r="F33" s="2">
        <v>30</v>
      </c>
      <c r="G33" s="2">
        <v>31</v>
      </c>
      <c r="H33" s="2">
        <v>31</v>
      </c>
      <c r="I33" s="2">
        <v>30</v>
      </c>
      <c r="J33" s="2">
        <v>31</v>
      </c>
      <c r="K33" s="2">
        <v>30</v>
      </c>
      <c r="L33" s="2">
        <v>31</v>
      </c>
      <c r="M33" s="2">
        <v>31</v>
      </c>
      <c r="N33" s="2">
        <v>29</v>
      </c>
      <c r="O33" s="2">
        <v>31</v>
      </c>
    </row>
    <row r="34" spans="1:15" ht="12.75">
      <c r="A34" s="2" t="s">
        <v>211</v>
      </c>
      <c r="C34" s="16" t="s">
        <v>212</v>
      </c>
      <c r="D34" s="2">
        <v>366</v>
      </c>
      <c r="E34" s="2">
        <v>366</v>
      </c>
      <c r="F34" s="2">
        <v>366</v>
      </c>
      <c r="G34" s="2">
        <v>366</v>
      </c>
      <c r="H34" s="2">
        <v>366</v>
      </c>
      <c r="I34" s="2">
        <v>366</v>
      </c>
      <c r="J34" s="2">
        <v>366</v>
      </c>
      <c r="K34" s="2">
        <v>366</v>
      </c>
      <c r="L34" s="2">
        <v>366</v>
      </c>
      <c r="M34" s="2">
        <v>366</v>
      </c>
      <c r="N34" s="2">
        <v>366</v>
      </c>
      <c r="O34" s="2">
        <v>366</v>
      </c>
    </row>
    <row r="35" spans="1:15" s="103" customFormat="1" ht="12.75">
      <c r="A35" s="103" t="s">
        <v>213</v>
      </c>
      <c r="C35" s="104" t="s">
        <v>214</v>
      </c>
      <c r="D35" s="105">
        <v>36280</v>
      </c>
      <c r="E35" s="105">
        <v>36311</v>
      </c>
      <c r="F35" s="105">
        <v>36341</v>
      </c>
      <c r="G35" s="105">
        <v>36372</v>
      </c>
      <c r="H35" s="105">
        <v>36403</v>
      </c>
      <c r="I35" s="105">
        <v>36433</v>
      </c>
      <c r="J35" s="105">
        <v>36464</v>
      </c>
      <c r="K35" s="105">
        <v>36494</v>
      </c>
      <c r="L35" s="105">
        <v>36525</v>
      </c>
      <c r="M35" s="105">
        <v>36556</v>
      </c>
      <c r="N35" s="105">
        <v>36585</v>
      </c>
      <c r="O35" s="105">
        <v>36616</v>
      </c>
    </row>
    <row r="36" spans="1:15" s="104" customFormat="1" ht="12.75">
      <c r="A36" s="104" t="s">
        <v>15</v>
      </c>
      <c r="C36" s="104" t="s">
        <v>215</v>
      </c>
      <c r="D36" s="104">
        <v>15236655.100000001</v>
      </c>
      <c r="E36" s="104">
        <v>15577728.6</v>
      </c>
      <c r="F36" s="104">
        <v>15937112.81</v>
      </c>
      <c r="G36" s="104">
        <v>16304628.780000001</v>
      </c>
      <c r="H36" s="104">
        <v>16685263.69</v>
      </c>
      <c r="I36" s="104">
        <v>17073633.36</v>
      </c>
      <c r="J36" s="104">
        <v>17471658.18</v>
      </c>
      <c r="K36" s="104">
        <v>17881025.439999998</v>
      </c>
      <c r="L36" s="104">
        <v>18298959.759999998</v>
      </c>
      <c r="M36" s="104">
        <v>18727600.16</v>
      </c>
      <c r="N36" s="104">
        <v>19164141.76</v>
      </c>
      <c r="O36" s="104">
        <v>19605813.819999997</v>
      </c>
    </row>
    <row r="37" spans="1:15" ht="12.75">
      <c r="A37" s="2" t="s">
        <v>38</v>
      </c>
      <c r="B37" s="16"/>
      <c r="C37" s="16" t="s">
        <v>216</v>
      </c>
      <c r="D37" s="16">
        <v>2524550.1</v>
      </c>
      <c r="E37" s="16">
        <v>2567554.02</v>
      </c>
      <c r="F37" s="16">
        <v>2612469.13</v>
      </c>
      <c r="G37" s="16">
        <v>2657168.23</v>
      </c>
      <c r="H37" s="16">
        <v>2702654.61</v>
      </c>
      <c r="I37" s="16">
        <v>2747568</v>
      </c>
      <c r="J37" s="16">
        <v>2793861.75</v>
      </c>
      <c r="K37" s="16">
        <v>2843248.18</v>
      </c>
      <c r="L37" s="16">
        <v>2892915.96</v>
      </c>
      <c r="M37" s="16">
        <v>2945051.02</v>
      </c>
      <c r="N37" s="16">
        <v>2996877.47</v>
      </c>
      <c r="O37" s="16">
        <v>3049633.52</v>
      </c>
    </row>
    <row r="38" spans="1:15" ht="12.75">
      <c r="A38" s="2" t="s">
        <v>217</v>
      </c>
      <c r="B38" s="16"/>
      <c r="C38" s="16" t="s">
        <v>218</v>
      </c>
      <c r="D38" s="16">
        <v>14376765.450000001</v>
      </c>
      <c r="E38" s="16">
        <v>14707239.549999999</v>
      </c>
      <c r="F38" s="16">
        <v>15045705.59</v>
      </c>
      <c r="G38" s="16">
        <v>15401198.180000002</v>
      </c>
      <c r="H38" s="16">
        <v>15765316.09</v>
      </c>
      <c r="I38" s="16">
        <v>16141532.76</v>
      </c>
      <c r="J38" s="16">
        <v>16527548.530000001</v>
      </c>
      <c r="K38" s="16">
        <v>16924961.24</v>
      </c>
      <c r="L38" s="16">
        <v>17330958.93</v>
      </c>
      <c r="M38" s="16">
        <v>17747411.53</v>
      </c>
      <c r="N38" s="16">
        <v>18171890.66</v>
      </c>
      <c r="O38" s="16">
        <v>18606372.919999998</v>
      </c>
    </row>
    <row r="39" spans="1:15" ht="12.75">
      <c r="A39" s="2" t="s">
        <v>219</v>
      </c>
      <c r="B39" s="16"/>
      <c r="C39" s="16" t="s">
        <v>220</v>
      </c>
      <c r="D39" s="16">
        <v>10668151.99</v>
      </c>
      <c r="E39" s="16">
        <v>10892095.44</v>
      </c>
      <c r="F39" s="16">
        <v>11142992.99</v>
      </c>
      <c r="G39" s="16">
        <v>11390060.63</v>
      </c>
      <c r="H39" s="16">
        <v>11651488.54</v>
      </c>
      <c r="I39" s="16">
        <v>11914388.02</v>
      </c>
      <c r="J39" s="16">
        <v>12183237.120000001</v>
      </c>
      <c r="K39" s="16">
        <v>12458444.79</v>
      </c>
      <c r="L39" s="16">
        <v>12739670.590000002</v>
      </c>
      <c r="M39" s="16">
        <v>13027079.34</v>
      </c>
      <c r="N39" s="16">
        <v>13320775.190000001</v>
      </c>
      <c r="O39" s="16">
        <v>13112266.200000001</v>
      </c>
    </row>
    <row r="40" spans="1:15" ht="12.75">
      <c r="A40" s="2" t="s">
        <v>221</v>
      </c>
      <c r="B40" s="16"/>
      <c r="C40" s="16" t="s">
        <v>222</v>
      </c>
      <c r="D40" s="16">
        <v>11935601.04</v>
      </c>
      <c r="E40" s="16">
        <v>12215433.35</v>
      </c>
      <c r="F40" s="16">
        <v>12510792.9</v>
      </c>
      <c r="G40" s="16">
        <v>12813982.59</v>
      </c>
      <c r="H40" s="16">
        <v>13128765.45</v>
      </c>
      <c r="I40" s="16">
        <v>13451395.44</v>
      </c>
      <c r="J40" s="16">
        <v>13781718.549999999</v>
      </c>
      <c r="K40" s="16">
        <v>14119870.759999998</v>
      </c>
      <c r="L40" s="16">
        <v>14465783.059999997</v>
      </c>
      <c r="M40" s="16">
        <v>14819458.5</v>
      </c>
      <c r="N40" s="16">
        <v>15180879.130000003</v>
      </c>
      <c r="O40" s="16">
        <v>15546191.780000001</v>
      </c>
    </row>
    <row r="41" spans="1:15" ht="12.75">
      <c r="A41" s="2" t="s">
        <v>223</v>
      </c>
      <c r="B41" s="16"/>
      <c r="C41" s="16" t="s">
        <v>224</v>
      </c>
      <c r="D41" s="16">
        <v>2549977.58</v>
      </c>
      <c r="E41" s="16">
        <v>2593603.5</v>
      </c>
      <c r="F41" s="16">
        <v>2639044.61</v>
      </c>
      <c r="G41" s="16">
        <v>2684306.71</v>
      </c>
      <c r="H41" s="16">
        <v>2730301.09</v>
      </c>
      <c r="I41" s="16">
        <v>2775791.48</v>
      </c>
      <c r="J41" s="16">
        <v>2822660.23</v>
      </c>
      <c r="K41" s="16">
        <v>2872608.66</v>
      </c>
      <c r="L41" s="16">
        <v>2922809.44</v>
      </c>
      <c r="M41" s="16">
        <v>2975526.5</v>
      </c>
      <c r="N41" s="16">
        <v>3027859.95</v>
      </c>
      <c r="O41" s="16">
        <v>3081156</v>
      </c>
    </row>
    <row r="42" spans="1:15" ht="12.75">
      <c r="A42" s="2" t="s">
        <v>225</v>
      </c>
      <c r="B42" s="16"/>
      <c r="C42" s="16" t="s">
        <v>226</v>
      </c>
      <c r="D42" s="16">
        <v>12712104.999999998</v>
      </c>
      <c r="E42" s="16">
        <v>13010174.58</v>
      </c>
      <c r="F42" s="16">
        <v>13324643.68</v>
      </c>
      <c r="G42" s="16">
        <v>13647460.549999999</v>
      </c>
      <c r="H42" s="16">
        <v>13982609.079999998</v>
      </c>
      <c r="I42" s="16">
        <v>14326065.36</v>
      </c>
      <c r="J42" s="16">
        <v>14677796.43</v>
      </c>
      <c r="K42" s="16">
        <v>15037777.259999996</v>
      </c>
      <c r="L42" s="16">
        <v>15406043.799999997</v>
      </c>
      <c r="M42" s="16">
        <v>15782549.139999999</v>
      </c>
      <c r="N42" s="16">
        <v>16167264.290000001</v>
      </c>
      <c r="O42" s="16">
        <v>16556180.299999999</v>
      </c>
    </row>
    <row r="43" spans="1:15" ht="12.75">
      <c r="A43" s="2" t="s">
        <v>227</v>
      </c>
      <c r="B43" s="16"/>
      <c r="C43" s="16" t="s">
        <v>228</v>
      </c>
      <c r="D43" s="16">
        <v>14485578.62</v>
      </c>
      <c r="E43" s="16">
        <v>14809036.85</v>
      </c>
      <c r="F43" s="16">
        <v>15149837.51</v>
      </c>
      <c r="G43" s="16">
        <v>15498289.299999999</v>
      </c>
      <c r="H43" s="16">
        <v>15859066.54</v>
      </c>
      <c r="I43" s="16">
        <v>16227186.92</v>
      </c>
      <c r="J43" s="16">
        <v>16604378.78</v>
      </c>
      <c r="K43" s="16">
        <v>16992479.419999998</v>
      </c>
      <c r="L43" s="16">
        <v>17388592.499999996</v>
      </c>
      <c r="M43" s="16">
        <v>17794985</v>
      </c>
      <c r="N43" s="16">
        <v>18208739.080000002</v>
      </c>
      <c r="O43" s="16">
        <v>18627347.78</v>
      </c>
    </row>
    <row r="44" spans="1:15" ht="12.75">
      <c r="A44" s="2" t="s">
        <v>101</v>
      </c>
      <c r="B44" s="16"/>
      <c r="C44" s="16" t="s">
        <v>229</v>
      </c>
      <c r="D44" s="16">
        <v>275768.2</v>
      </c>
      <c r="E44" s="16">
        <v>279652.31</v>
      </c>
      <c r="F44" s="16">
        <v>295188.55</v>
      </c>
      <c r="G44" s="16">
        <v>302956.69</v>
      </c>
      <c r="H44" s="16">
        <v>314608.86</v>
      </c>
      <c r="I44" s="16">
        <v>322376.99</v>
      </c>
      <c r="J44" s="16">
        <v>330145.11</v>
      </c>
      <c r="K44" s="16">
        <v>337913.21</v>
      </c>
      <c r="L44" s="16">
        <v>345681.3</v>
      </c>
      <c r="M44" s="16">
        <v>353449.44</v>
      </c>
      <c r="N44" s="16">
        <v>361217.63</v>
      </c>
      <c r="O44" s="16">
        <v>365101.65</v>
      </c>
    </row>
    <row r="45" spans="1:15" ht="12.75">
      <c r="A45" s="2" t="s">
        <v>230</v>
      </c>
      <c r="B45" s="16"/>
      <c r="C45" s="16" t="s">
        <v>231</v>
      </c>
      <c r="D45" s="16">
        <v>291856.89</v>
      </c>
      <c r="E45" s="16">
        <v>295967.5</v>
      </c>
      <c r="F45" s="16">
        <v>312410.22</v>
      </c>
      <c r="G45" s="16">
        <v>320631.5</v>
      </c>
      <c r="H45" s="16">
        <v>332963.46</v>
      </c>
      <c r="I45" s="16">
        <v>341184.75</v>
      </c>
      <c r="J45" s="16">
        <v>349406.11</v>
      </c>
      <c r="K45" s="16">
        <v>357627.42</v>
      </c>
      <c r="L45" s="16">
        <v>365848.7</v>
      </c>
      <c r="M45" s="16">
        <v>374070.12</v>
      </c>
      <c r="N45" s="16">
        <v>382291.4</v>
      </c>
      <c r="O45" s="16">
        <v>386401.98</v>
      </c>
    </row>
    <row r="46" spans="1:15" ht="12.75">
      <c r="A46" s="2" t="s">
        <v>232</v>
      </c>
      <c r="B46" s="16"/>
      <c r="C46" s="16" t="s">
        <v>233</v>
      </c>
      <c r="D46" s="16">
        <v>-767109.48</v>
      </c>
      <c r="E46" s="16">
        <v>-785144.75</v>
      </c>
      <c r="F46" s="16">
        <v>-804171.3</v>
      </c>
      <c r="G46" s="16">
        <v>-823672.48</v>
      </c>
      <c r="H46" s="16">
        <v>-843944.15</v>
      </c>
      <c r="I46" s="16">
        <v>-864611.44</v>
      </c>
      <c r="J46" s="16">
        <v>-885857.4</v>
      </c>
      <c r="K46" s="16">
        <v>-907587.02</v>
      </c>
      <c r="L46" s="16">
        <v>-929798.26</v>
      </c>
      <c r="M46" s="16">
        <v>-952465.16</v>
      </c>
      <c r="N46" s="16">
        <v>-975672.68</v>
      </c>
      <c r="O46" s="16">
        <v>-999134.04</v>
      </c>
    </row>
    <row r="47" spans="1:15" ht="12.75">
      <c r="A47" s="2" t="s">
        <v>135</v>
      </c>
      <c r="B47" s="16"/>
      <c r="C47" s="16" t="s">
        <v>234</v>
      </c>
      <c r="D47" s="16">
        <v>-20566.96</v>
      </c>
      <c r="E47" s="16">
        <v>-20856.6</v>
      </c>
      <c r="F47" s="16">
        <v>-22015.35</v>
      </c>
      <c r="G47" s="16">
        <v>-22594.62</v>
      </c>
      <c r="H47" s="16">
        <v>-23463.71</v>
      </c>
      <c r="I47" s="16">
        <v>-24043.04</v>
      </c>
      <c r="J47" s="16">
        <v>-24622.37</v>
      </c>
      <c r="K47" s="16">
        <v>-25201.73</v>
      </c>
      <c r="L47" s="16">
        <v>-25780.98</v>
      </c>
      <c r="M47" s="16">
        <v>-26360.5</v>
      </c>
      <c r="N47" s="16">
        <v>-26939.8</v>
      </c>
      <c r="O47" s="16">
        <v>-27229.37</v>
      </c>
    </row>
    <row r="48" spans="1:15" ht="12.75">
      <c r="A48" s="2" t="s">
        <v>235</v>
      </c>
      <c r="B48" s="16"/>
      <c r="C48" s="16" t="s">
        <v>236</v>
      </c>
      <c r="D48" s="16">
        <v>297064.03</v>
      </c>
      <c r="E48" s="16">
        <v>301247.98</v>
      </c>
      <c r="F48" s="16">
        <v>317984.06</v>
      </c>
      <c r="G48" s="16">
        <v>326352.02</v>
      </c>
      <c r="H48" s="16">
        <v>338904</v>
      </c>
      <c r="I48" s="16">
        <v>347271.97</v>
      </c>
      <c r="J48" s="16">
        <v>355640.01</v>
      </c>
      <c r="K48" s="16">
        <v>364008</v>
      </c>
      <c r="L48" s="16">
        <v>372375.96</v>
      </c>
      <c r="M48" s="16">
        <v>380744.06</v>
      </c>
      <c r="N48" s="16">
        <v>389112.02</v>
      </c>
      <c r="O48" s="16">
        <v>393295.94</v>
      </c>
    </row>
    <row r="49" spans="1:29" ht="12.75">
      <c r="A49" s="2" t="s">
        <v>237</v>
      </c>
      <c r="C49" s="16"/>
      <c r="D49" s="16">
        <v>-0.06427070387399611</v>
      </c>
      <c r="E49" s="16">
        <v>-0.06427481756101595</v>
      </c>
      <c r="F49" s="16">
        <v>-0.06427820414164158</v>
      </c>
      <c r="G49" s="16">
        <v>-0.06427919456069746</v>
      </c>
      <c r="H49" s="16">
        <v>-0.0642820646932953</v>
      </c>
      <c r="I49" s="16">
        <v>-0.06427670971808111</v>
      </c>
      <c r="J49" s="16">
        <v>-0.06427771665675179</v>
      </c>
      <c r="K49" s="16">
        <v>-0.06427728946153613</v>
      </c>
      <c r="L49" s="16">
        <v>-0.06427569500686264</v>
      </c>
      <c r="M49" s="16">
        <v>-0.06427125255622532</v>
      </c>
      <c r="N49" s="16">
        <v>-0.06426984047794075</v>
      </c>
      <c r="O49" s="16">
        <v>-0.06426873244194599</v>
      </c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</row>
    <row r="50" spans="1:15" ht="12.75">
      <c r="A50" s="2" t="s">
        <v>238</v>
      </c>
      <c r="C50" s="16"/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</row>
    <row r="51" ht="12"/>
    <row r="52" ht="12">
      <c r="B52" s="2">
        <v>15</v>
      </c>
    </row>
    <row r="53" spans="1:15" ht="30.75" customHeight="1">
      <c r="A53" s="107"/>
      <c r="B53" s="108"/>
      <c r="C53" s="109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</row>
    <row r="54" spans="1:15" ht="12.75">
      <c r="A54" s="110"/>
      <c r="B54" s="108"/>
      <c r="C54" s="109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</row>
    <row r="55" spans="1:17" ht="12.75">
      <c r="A55" s="111" t="s">
        <v>0</v>
      </c>
      <c r="B55" s="6">
        <v>36586</v>
      </c>
      <c r="C55" s="16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6"/>
      <c r="Q55" s="16"/>
    </row>
    <row r="56" spans="1:17" s="40" customFormat="1" ht="3.75" customHeight="1">
      <c r="A56" s="113"/>
      <c r="B56" s="114"/>
      <c r="C56" s="115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5"/>
      <c r="Q56" s="115"/>
    </row>
    <row r="57" spans="1:25" s="123" customFormat="1" ht="12.75">
      <c r="A57" s="117" t="s">
        <v>100</v>
      </c>
      <c r="B57" s="118" t="s">
        <v>4</v>
      </c>
      <c r="C57" s="119" t="s">
        <v>100</v>
      </c>
      <c r="D57" s="120" t="s">
        <v>239</v>
      </c>
      <c r="E57" s="120" t="s">
        <v>240</v>
      </c>
      <c r="F57" s="120" t="s">
        <v>241</v>
      </c>
      <c r="G57" s="120" t="s">
        <v>242</v>
      </c>
      <c r="H57" s="120" t="s">
        <v>243</v>
      </c>
      <c r="I57" s="120" t="s">
        <v>244</v>
      </c>
      <c r="J57" s="120" t="s">
        <v>245</v>
      </c>
      <c r="K57" s="120" t="s">
        <v>246</v>
      </c>
      <c r="L57" s="120" t="s">
        <v>247</v>
      </c>
      <c r="M57" s="120" t="s">
        <v>248</v>
      </c>
      <c r="N57" s="120" t="s">
        <v>249</v>
      </c>
      <c r="O57" s="120" t="s">
        <v>250</v>
      </c>
      <c r="P57" s="16"/>
      <c r="Q57" s="121"/>
      <c r="R57" s="121"/>
      <c r="S57" s="122"/>
      <c r="T57" s="122"/>
      <c r="U57" s="122"/>
      <c r="V57" s="122"/>
      <c r="W57" s="122"/>
      <c r="X57" s="122"/>
      <c r="Y57" s="122"/>
    </row>
    <row r="58" s="16" customFormat="1" ht="2.25" customHeight="1">
      <c r="A58" s="16" t="s">
        <v>251</v>
      </c>
    </row>
    <row r="59" spans="1:18" ht="12.75">
      <c r="A59" s="124" t="s">
        <v>252</v>
      </c>
      <c r="B59" s="124"/>
      <c r="C59" s="125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6"/>
      <c r="Q59" s="16"/>
      <c r="R59" s="16"/>
    </row>
    <row r="60" spans="1:18" ht="12.75">
      <c r="A60" s="127" t="s">
        <v>253</v>
      </c>
      <c r="B60" s="128"/>
      <c r="C60" s="127"/>
      <c r="D60" s="129">
        <f>IF(OR(TA=0,DP=0,(LTD+STD)=0),"N/A",WC/TA*6.56+(NW-EQ)/TA*3.26+(IBIT*DY)/(TA*DP)*6.72+NW/(LTD+STD)*1.05)</f>
        <v>1003.5732921337901</v>
      </c>
      <c r="E60" s="129">
        <f aca="true" t="shared" si="0" ref="E60:O60">IF(OR(TA=0,DP=0,(LTD+STD)=0),"N/A",WC/TA*6.56+(NW-EQ)/TA*3.26+(IBIT*DY)/(TA*DP)*6.72+NW/(LTD+STD)*1.05)</f>
        <v>995.8614376398428</v>
      </c>
      <c r="F60" s="129">
        <f t="shared" si="0"/>
        <v>995.6521677000383</v>
      </c>
      <c r="G60" s="129">
        <f t="shared" si="0"/>
        <v>993.0236339286258</v>
      </c>
      <c r="H60" s="129">
        <f t="shared" si="0"/>
        <v>993.9202370937968</v>
      </c>
      <c r="I60" s="129">
        <f t="shared" si="0"/>
        <v>993.4672619679974</v>
      </c>
      <c r="J60" s="129">
        <f t="shared" si="0"/>
        <v>989.0837090391019</v>
      </c>
      <c r="K60" s="129">
        <f t="shared" si="0"/>
        <v>987.3258587335584</v>
      </c>
      <c r="L60" s="129">
        <f t="shared" si="0"/>
        <v>988.8356812602261</v>
      </c>
      <c r="M60" s="129">
        <f t="shared" si="0"/>
        <v>990.7840888425209</v>
      </c>
      <c r="N60" s="129">
        <f t="shared" si="0"/>
        <v>995.0891492394575</v>
      </c>
      <c r="O60" s="129">
        <f t="shared" si="0"/>
        <v>1001.5706664836966</v>
      </c>
      <c r="P60" s="16"/>
      <c r="Q60" s="16"/>
      <c r="R60" s="16"/>
    </row>
    <row r="61" spans="1:18" ht="12.75">
      <c r="A61" s="124" t="s">
        <v>254</v>
      </c>
      <c r="B61" s="124"/>
      <c r="C61" s="125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6"/>
      <c r="Q61" s="16"/>
      <c r="R61" s="16"/>
    </row>
    <row r="62" spans="1:18" ht="12.75">
      <c r="A62" s="127" t="s">
        <v>255</v>
      </c>
      <c r="B62" s="127"/>
      <c r="C62" s="127"/>
      <c r="D62" s="129">
        <f aca="true" t="shared" si="1" ref="D62:O62">IF(CL=0,"N/A",CA/CL)</f>
        <v>6.035394227272416</v>
      </c>
      <c r="E62" s="129">
        <f t="shared" si="1"/>
        <v>6.067147362297756</v>
      </c>
      <c r="F62" s="129">
        <f t="shared" si="1"/>
        <v>6.100402346189638</v>
      </c>
      <c r="G62" s="129">
        <f t="shared" si="1"/>
        <v>6.136092023048161</v>
      </c>
      <c r="H62" s="129">
        <f t="shared" si="1"/>
        <v>6.17365742121225</v>
      </c>
      <c r="I62" s="129">
        <f t="shared" si="1"/>
        <v>6.214089463845845</v>
      </c>
      <c r="J62" s="129">
        <f t="shared" si="1"/>
        <v>6.253587236376316</v>
      </c>
      <c r="K62" s="129">
        <f t="shared" si="1"/>
        <v>6.288942894882991</v>
      </c>
      <c r="L62" s="129">
        <f t="shared" si="1"/>
        <v>6.32543772892732</v>
      </c>
      <c r="M62" s="129">
        <f t="shared" si="1"/>
        <v>6.359007036828856</v>
      </c>
      <c r="N62" s="129">
        <f t="shared" si="1"/>
        <v>6.394703137462607</v>
      </c>
      <c r="O62" s="129">
        <f t="shared" si="1"/>
        <v>6.428908159430251</v>
      </c>
      <c r="P62" s="16"/>
      <c r="Q62" s="16"/>
      <c r="R62" s="16"/>
    </row>
    <row r="63" spans="1:18" ht="12.75">
      <c r="A63" s="131" t="s">
        <v>256</v>
      </c>
      <c r="B63" s="131"/>
      <c r="C63" s="131"/>
      <c r="D63" s="132">
        <f aca="true" t="shared" si="2" ref="D63:O63">IF(CL=0,"N/A",QA/CL)</f>
        <v>5.694783181367643</v>
      </c>
      <c r="E63" s="132">
        <f t="shared" si="2"/>
        <v>5.728112996041267</v>
      </c>
      <c r="F63" s="132">
        <f t="shared" si="2"/>
        <v>5.759189809067715</v>
      </c>
      <c r="G63" s="132">
        <f t="shared" si="2"/>
        <v>5.796094506217998</v>
      </c>
      <c r="H63" s="132">
        <f t="shared" si="2"/>
        <v>5.833270752269748</v>
      </c>
      <c r="I63" s="132">
        <f t="shared" si="2"/>
        <v>5.87484377456718</v>
      </c>
      <c r="J63" s="132">
        <f t="shared" si="2"/>
        <v>5.9156644132444995</v>
      </c>
      <c r="K63" s="132">
        <f t="shared" si="2"/>
        <v>5.952685157438489</v>
      </c>
      <c r="L63" s="132">
        <f t="shared" si="2"/>
        <v>5.990826961319678</v>
      </c>
      <c r="M63" s="132">
        <f t="shared" si="2"/>
        <v>6.026181349483039</v>
      </c>
      <c r="N63" s="132">
        <f t="shared" si="2"/>
        <v>6.063608152788442</v>
      </c>
      <c r="O63" s="132">
        <f t="shared" si="2"/>
        <v>6.1011832398799175</v>
      </c>
      <c r="P63" s="16"/>
      <c r="Q63" s="16"/>
      <c r="R63" s="16"/>
    </row>
    <row r="64" spans="1:18" ht="12.75">
      <c r="A64" s="124" t="s">
        <v>257</v>
      </c>
      <c r="B64" s="124"/>
      <c r="C64" s="125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6"/>
      <c r="Q64" s="16"/>
      <c r="R64" s="16"/>
    </row>
    <row r="65" spans="1:18" ht="12.75">
      <c r="A65" s="127" t="s">
        <v>258</v>
      </c>
      <c r="B65" s="127"/>
      <c r="C65" s="127"/>
      <c r="D65" s="129">
        <f aca="true" t="shared" si="3" ref="D65:O65">IF(NS=0,"N/A",ARN*DP/NS)</f>
        <v>707.1295551417753</v>
      </c>
      <c r="E65" s="129">
        <f t="shared" si="3"/>
        <v>735.6775257160892</v>
      </c>
      <c r="F65" s="129">
        <f t="shared" si="3"/>
        <v>690.0115734761027</v>
      </c>
      <c r="G65" s="129">
        <f t="shared" si="3"/>
        <v>710.1334360151037</v>
      </c>
      <c r="H65" s="129">
        <f t="shared" si="3"/>
        <v>699.5278170534733</v>
      </c>
      <c r="I65" s="129">
        <f t="shared" si="3"/>
        <v>675.5566396349489</v>
      </c>
      <c r="J65" s="129">
        <f t="shared" si="3"/>
        <v>697.0313606608696</v>
      </c>
      <c r="K65" s="129">
        <f t="shared" si="3"/>
        <v>673.9267817874173</v>
      </c>
      <c r="L65" s="129">
        <f t="shared" si="3"/>
        <v>696.1081119596544</v>
      </c>
      <c r="M65" s="129">
        <f t="shared" si="3"/>
        <v>696.1682964630039</v>
      </c>
      <c r="N65" s="129">
        <f t="shared" si="3"/>
        <v>651.6154756416635</v>
      </c>
      <c r="O65" s="129">
        <f t="shared" si="3"/>
        <v>678.3571933913086</v>
      </c>
      <c r="P65" s="16"/>
      <c r="Q65" s="16"/>
      <c r="R65" s="16"/>
    </row>
    <row r="66" spans="1:18" ht="12.75">
      <c r="A66" s="131" t="s">
        <v>259</v>
      </c>
      <c r="B66" s="131"/>
      <c r="C66" s="131"/>
      <c r="D66" s="134">
        <f aca="true" t="shared" si="4" ref="D66:O66">IF(AR=0,"N/A",ABD/AR)</f>
        <v>0.013215406706609987</v>
      </c>
      <c r="E66" s="134">
        <f t="shared" si="4"/>
        <v>0.01324674112439913</v>
      </c>
      <c r="F66" s="134">
        <f t="shared" si="4"/>
        <v>0.013261382193633115</v>
      </c>
      <c r="G66" s="134">
        <f t="shared" si="4"/>
        <v>0.013287736427073843</v>
      </c>
      <c r="H66" s="134">
        <f t="shared" si="4"/>
        <v>0.013308441757827763</v>
      </c>
      <c r="I66" s="134">
        <f t="shared" si="4"/>
        <v>0.013334217135365626</v>
      </c>
      <c r="J66" s="134">
        <f t="shared" si="4"/>
        <v>0.013359874966728268</v>
      </c>
      <c r="K66" s="134">
        <f t="shared" si="4"/>
        <v>0.013384953320460349</v>
      </c>
      <c r="L66" s="134">
        <f t="shared" si="4"/>
        <v>0.01340980649993314</v>
      </c>
      <c r="M66" s="134">
        <f t="shared" si="4"/>
        <v>0.013434247653810677</v>
      </c>
      <c r="N66" s="134">
        <f t="shared" si="4"/>
        <v>0.013458164129067187</v>
      </c>
      <c r="O66" s="134">
        <f t="shared" si="4"/>
        <v>0.013993602671916008</v>
      </c>
      <c r="P66" s="16"/>
      <c r="Q66" s="16"/>
      <c r="R66" s="16"/>
    </row>
    <row r="67" spans="1:18" ht="12.75">
      <c r="A67" s="127" t="s">
        <v>260</v>
      </c>
      <c r="B67" s="127"/>
      <c r="C67" s="127"/>
      <c r="D67" s="135">
        <f aca="true" t="shared" si="5" ref="D67:O67">IF(NS=0,"N/A",BDE/NS)</f>
        <v>0.007298195979211341</v>
      </c>
      <c r="E67" s="135">
        <f t="shared" si="5"/>
        <v>0.0072981668444627775</v>
      </c>
      <c r="F67" s="135">
        <f t="shared" si="5"/>
        <v>0.007298184078872362</v>
      </c>
      <c r="G67" s="135">
        <f t="shared" si="5"/>
        <v>0.0072981916662647655</v>
      </c>
      <c r="H67" s="135">
        <f t="shared" si="5"/>
        <v>0.007298174919804729</v>
      </c>
      <c r="I67" s="135">
        <f t="shared" si="5"/>
        <v>0.007298200895254444</v>
      </c>
      <c r="J67" s="135">
        <f t="shared" si="5"/>
        <v>0.007298170685635863</v>
      </c>
      <c r="K67" s="135">
        <f t="shared" si="5"/>
        <v>0.007298160554267046</v>
      </c>
      <c r="L67" s="135">
        <f t="shared" si="5"/>
        <v>0.007298166832067269</v>
      </c>
      <c r="M67" s="135">
        <f t="shared" si="5"/>
        <v>0.007298192463071692</v>
      </c>
      <c r="N67" s="135">
        <f t="shared" si="5"/>
        <v>0.007298181409055863</v>
      </c>
      <c r="O67" s="135">
        <f t="shared" si="5"/>
        <v>0.007298176302034715</v>
      </c>
      <c r="P67" s="16"/>
      <c r="Q67" s="16"/>
      <c r="R67" s="16"/>
    </row>
    <row r="68" spans="1:18" ht="12.75">
      <c r="A68" s="131" t="s">
        <v>261</v>
      </c>
      <c r="B68" s="131"/>
      <c r="C68" s="131"/>
      <c r="D68" s="136">
        <f aca="true" t="shared" si="6" ref="D68:O68">IF(INV*DP=0,"N/A",(COS*DY)/(INV*DP))</f>
        <v>2.7103930071286046</v>
      </c>
      <c r="E68" s="136">
        <f t="shared" si="6"/>
        <v>2.63098673366142</v>
      </c>
      <c r="F68" s="136">
        <f t="shared" si="6"/>
        <v>2.802993296769787</v>
      </c>
      <c r="G68" s="136">
        <f t="shared" si="6"/>
        <v>2.749902875841955</v>
      </c>
      <c r="H68" s="136">
        <f t="shared" si="6"/>
        <v>2.80584552539158</v>
      </c>
      <c r="I68" s="136">
        <f t="shared" si="6"/>
        <v>2.9360038769051062</v>
      </c>
      <c r="J68" s="136">
        <f t="shared" si="6"/>
        <v>2.8762953892817613</v>
      </c>
      <c r="K68" s="136">
        <f t="shared" si="6"/>
        <v>3.0069013082915728</v>
      </c>
      <c r="L68" s="136">
        <f t="shared" si="6"/>
        <v>2.9429876113103957</v>
      </c>
      <c r="M68" s="136">
        <f t="shared" si="6"/>
        <v>2.974721779381109</v>
      </c>
      <c r="N68" s="136">
        <f t="shared" si="6"/>
        <v>3.213788564295247</v>
      </c>
      <c r="O68" s="136">
        <f t="shared" si="6"/>
        <v>3.02081374631021</v>
      </c>
      <c r="P68" s="16"/>
      <c r="Q68" s="16"/>
      <c r="R68" s="16"/>
    </row>
    <row r="69" spans="1:18" ht="12.75">
      <c r="A69" s="127" t="s">
        <v>262</v>
      </c>
      <c r="B69" s="127"/>
      <c r="C69" s="127"/>
      <c r="D69" s="129">
        <f aca="true" t="shared" si="7" ref="D69:O69">IF(COS=0,"N/A",(INV*DP)/COS)</f>
        <v>135.03576752057117</v>
      </c>
      <c r="E69" s="129">
        <f t="shared" si="7"/>
        <v>139.11130577639022</v>
      </c>
      <c r="F69" s="129">
        <f t="shared" si="7"/>
        <v>130.57469685060755</v>
      </c>
      <c r="G69" s="129">
        <f t="shared" si="7"/>
        <v>133.095609745104</v>
      </c>
      <c r="H69" s="129">
        <f t="shared" si="7"/>
        <v>130.44196363907864</v>
      </c>
      <c r="I69" s="129">
        <f t="shared" si="7"/>
        <v>124.65923593595764</v>
      </c>
      <c r="J69" s="129">
        <f t="shared" si="7"/>
        <v>127.24701411540131</v>
      </c>
      <c r="K69" s="129">
        <f t="shared" si="7"/>
        <v>121.71999093909395</v>
      </c>
      <c r="L69" s="129">
        <f t="shared" si="7"/>
        <v>124.36341851844722</v>
      </c>
      <c r="M69" s="129">
        <f t="shared" si="7"/>
        <v>123.03671642063492</v>
      </c>
      <c r="N69" s="129">
        <f t="shared" si="7"/>
        <v>113.88428102153642</v>
      </c>
      <c r="O69" s="129">
        <f t="shared" si="7"/>
        <v>121.15940628483062</v>
      </c>
      <c r="P69" s="16"/>
      <c r="Q69" s="16"/>
      <c r="R69" s="16"/>
    </row>
    <row r="70" spans="1:18" ht="12.75">
      <c r="A70" s="131" t="s">
        <v>263</v>
      </c>
      <c r="B70" s="131"/>
      <c r="C70" s="131"/>
      <c r="D70" s="132">
        <f aca="true" t="shared" si="8" ref="D70:O70">IF(INV*DP=0,"N/A",(NS*DY)/(INV*DP))</f>
        <v>6.96602593815131</v>
      </c>
      <c r="E70" s="132">
        <f t="shared" si="8"/>
        <v>6.7619411281896</v>
      </c>
      <c r="F70" s="132">
        <f t="shared" si="8"/>
        <v>7.204019190852543</v>
      </c>
      <c r="G70" s="132">
        <f t="shared" si="8"/>
        <v>7.0675715437231</v>
      </c>
      <c r="H70" s="132">
        <f t="shared" si="8"/>
        <v>7.211349320639137</v>
      </c>
      <c r="I70" s="132">
        <f t="shared" si="8"/>
        <v>7.545870072008685</v>
      </c>
      <c r="J70" s="132">
        <f t="shared" si="8"/>
        <v>7.3924141794957325</v>
      </c>
      <c r="K70" s="132">
        <f t="shared" si="8"/>
        <v>7.7280866655503635</v>
      </c>
      <c r="L70" s="132">
        <f t="shared" si="8"/>
        <v>7.563821095605603</v>
      </c>
      <c r="M70" s="132">
        <f t="shared" si="8"/>
        <v>7.645381208290401</v>
      </c>
      <c r="N70" s="132">
        <f t="shared" si="8"/>
        <v>8.259809843824852</v>
      </c>
      <c r="O70" s="132">
        <f t="shared" si="8"/>
        <v>7.76384284694481</v>
      </c>
      <c r="P70" s="16"/>
      <c r="Q70" s="16"/>
      <c r="R70" s="16"/>
    </row>
    <row r="71" spans="1:18" ht="12.75">
      <c r="A71" s="127" t="s">
        <v>264</v>
      </c>
      <c r="B71" s="127"/>
      <c r="C71" s="127"/>
      <c r="D71" s="129">
        <f aca="true" t="shared" si="9" ref="D71:O71">IF(COS=0,"N/A",(AP*DP)/COS)</f>
        <v>356.3854897887112</v>
      </c>
      <c r="E71" s="129">
        <f t="shared" si="9"/>
        <v>368.5291777289332</v>
      </c>
      <c r="F71" s="129">
        <f t="shared" si="9"/>
        <v>343.12338462498263</v>
      </c>
      <c r="G71" s="129">
        <f t="shared" si="9"/>
        <v>350.86255752173315</v>
      </c>
      <c r="H71" s="129">
        <f t="shared" si="9"/>
        <v>343.2749596943791</v>
      </c>
      <c r="I71" s="129">
        <f t="shared" si="9"/>
        <v>329.41447547353187</v>
      </c>
      <c r="J71" s="129">
        <f t="shared" si="9"/>
        <v>337.7762744516008</v>
      </c>
      <c r="K71" s="129">
        <f t="shared" si="9"/>
        <v>324.58107119632876</v>
      </c>
      <c r="L71" s="129">
        <f t="shared" si="9"/>
        <v>333.2524122997263</v>
      </c>
      <c r="M71" s="129">
        <f t="shared" si="9"/>
        <v>331.31773567725133</v>
      </c>
      <c r="N71" s="129">
        <f t="shared" si="9"/>
        <v>308.31669924481247</v>
      </c>
      <c r="O71" s="129">
        <f t="shared" si="9"/>
        <v>331.4492438090547</v>
      </c>
      <c r="P71" s="16"/>
      <c r="Q71" s="16"/>
      <c r="R71" s="16"/>
    </row>
    <row r="72" spans="1:18" ht="12.75">
      <c r="A72" s="131" t="s">
        <v>265</v>
      </c>
      <c r="B72" s="131"/>
      <c r="C72" s="131"/>
      <c r="D72" s="132">
        <f aca="true" t="shared" si="10" ref="D72:O72">IF(WC*DP=0,"N/A",(NS*DY)/(WC*DP))</f>
        <v>0.43436399526278313</v>
      </c>
      <c r="E72" s="132">
        <f t="shared" si="10"/>
        <v>0.4165066216917347</v>
      </c>
      <c r="F72" s="132">
        <f t="shared" si="10"/>
        <v>0.4435789855207596</v>
      </c>
      <c r="G72" s="132">
        <f t="shared" si="10"/>
        <v>0.4301454289899542</v>
      </c>
      <c r="H72" s="132">
        <f t="shared" si="10"/>
        <v>0.43598273619235384</v>
      </c>
      <c r="I72" s="132">
        <f t="shared" si="10"/>
        <v>0.4505719278667315</v>
      </c>
      <c r="J72" s="132">
        <f t="shared" si="10"/>
        <v>0.4358435306398725</v>
      </c>
      <c r="K72" s="132">
        <f t="shared" si="10"/>
        <v>0.4499337321611587</v>
      </c>
      <c r="L72" s="132">
        <f t="shared" si="10"/>
        <v>0.43478190489907487</v>
      </c>
      <c r="M72" s="132">
        <f t="shared" si="10"/>
        <v>0.43394706139626577</v>
      </c>
      <c r="N72" s="132">
        <f t="shared" si="10"/>
        <v>0.4627886042841493</v>
      </c>
      <c r="O72" s="132">
        <f t="shared" si="10"/>
        <v>0.4273072495140448</v>
      </c>
      <c r="P72" s="16"/>
      <c r="Q72" s="16"/>
      <c r="R72" s="16"/>
    </row>
    <row r="73" spans="1:18" ht="12.75">
      <c r="A73" s="127" t="s">
        <v>266</v>
      </c>
      <c r="B73" s="127"/>
      <c r="C73" s="127"/>
      <c r="D73" s="129">
        <f aca="true" t="shared" si="11" ref="D73:O73">IF(NS*DY=0,"N/A",(TA*DP)/(NS*DY))</f>
        <v>2.6234002589149337</v>
      </c>
      <c r="E73" s="129">
        <f t="shared" si="11"/>
        <v>2.732887657416962</v>
      </c>
      <c r="F73" s="129">
        <f t="shared" si="11"/>
        <v>2.5631935838730464</v>
      </c>
      <c r="G73" s="129">
        <f t="shared" si="11"/>
        <v>2.6400770612040763</v>
      </c>
      <c r="H73" s="129">
        <f t="shared" si="11"/>
        <v>2.6014777310658697</v>
      </c>
      <c r="I73" s="129">
        <f t="shared" si="11"/>
        <v>2.5139242097170658</v>
      </c>
      <c r="J73" s="129">
        <f t="shared" si="11"/>
        <v>2.5955605692245967</v>
      </c>
      <c r="K73" s="129">
        <f t="shared" si="11"/>
        <v>2.511450083924479</v>
      </c>
      <c r="L73" s="129">
        <f t="shared" si="11"/>
        <v>2.595982979698751</v>
      </c>
      <c r="M73" s="129">
        <f t="shared" si="11"/>
        <v>2.598266681814601</v>
      </c>
      <c r="N73" s="129">
        <f t="shared" si="11"/>
        <v>2.4336643402258864</v>
      </c>
      <c r="O73" s="129">
        <f t="shared" si="11"/>
        <v>2.632998519152626</v>
      </c>
      <c r="P73" s="16"/>
      <c r="Q73" s="16"/>
      <c r="R73" s="16"/>
    </row>
    <row r="74" spans="1:18" ht="12.75">
      <c r="A74" s="131" t="s">
        <v>267</v>
      </c>
      <c r="B74" s="131"/>
      <c r="C74" s="131"/>
      <c r="D74" s="132">
        <f aca="true" t="shared" si="12" ref="D74:O74">IF(ARN*DP=0,"N/A",(NS*DY)/(ARN*DP))</f>
        <v>0.5175854938302206</v>
      </c>
      <c r="E74" s="132">
        <f t="shared" si="12"/>
        <v>0.49750058579504003</v>
      </c>
      <c r="F74" s="132">
        <f t="shared" si="12"/>
        <v>0.5304258856937503</v>
      </c>
      <c r="G74" s="132">
        <f t="shared" si="12"/>
        <v>0.5153960952096552</v>
      </c>
      <c r="H74" s="132">
        <f t="shared" si="12"/>
        <v>0.5232100726768129</v>
      </c>
      <c r="I74" s="132">
        <f t="shared" si="12"/>
        <v>0.5417754463900699</v>
      </c>
      <c r="J74" s="132">
        <f t="shared" si="12"/>
        <v>0.5250839785070617</v>
      </c>
      <c r="K74" s="132">
        <f t="shared" si="12"/>
        <v>0.5430857029146092</v>
      </c>
      <c r="L74" s="132">
        <f t="shared" si="12"/>
        <v>0.525780397774208</v>
      </c>
      <c r="M74" s="132">
        <f t="shared" si="12"/>
        <v>0.5257349434892719</v>
      </c>
      <c r="N74" s="132">
        <f t="shared" si="12"/>
        <v>0.5616809509313601</v>
      </c>
      <c r="O74" s="132">
        <f t="shared" si="12"/>
        <v>0.5395387615339606</v>
      </c>
      <c r="P74" s="16"/>
      <c r="Q74" s="16"/>
      <c r="R74" s="16"/>
    </row>
    <row r="75" spans="1:18" ht="12.75">
      <c r="A75" s="127" t="s">
        <v>268</v>
      </c>
      <c r="B75" s="127"/>
      <c r="C75" s="127"/>
      <c r="D75" s="129">
        <f aca="true" t="shared" si="13" ref="D75:O75">IF(FA*DP=0,"N/A",(NS*DY)/(FA*DP))</f>
        <v>-7.19803477855599</v>
      </c>
      <c r="E75" s="129">
        <f t="shared" si="13"/>
        <v>-6.901687697632168</v>
      </c>
      <c r="F75" s="129">
        <f t="shared" si="13"/>
        <v>-7.3498419130351955</v>
      </c>
      <c r="G75" s="129">
        <f t="shared" si="13"/>
        <v>-7.127095921552734</v>
      </c>
      <c r="H75" s="129">
        <f t="shared" si="13"/>
        <v>-7.223435538721906</v>
      </c>
      <c r="I75" s="129">
        <f t="shared" si="13"/>
        <v>-7.465692205044153</v>
      </c>
      <c r="J75" s="129">
        <f t="shared" si="13"/>
        <v>-7.221503842564859</v>
      </c>
      <c r="K75" s="129">
        <f t="shared" si="13"/>
        <v>-7.454936107393868</v>
      </c>
      <c r="L75" s="129">
        <f t="shared" si="13"/>
        <v>-7.204002586886515</v>
      </c>
      <c r="M75" s="129">
        <f t="shared" si="13"/>
        <v>-7.1905945836855185</v>
      </c>
      <c r="N75" s="129">
        <f t="shared" si="13"/>
        <v>-7.668581717243603</v>
      </c>
      <c r="O75" s="129">
        <f t="shared" si="13"/>
        <v>-7.08070747589744</v>
      </c>
      <c r="P75" s="16"/>
      <c r="Q75" s="16"/>
      <c r="R75" s="16"/>
    </row>
    <row r="76" spans="1:18" ht="12.75">
      <c r="A76" s="131" t="s">
        <v>269</v>
      </c>
      <c r="B76" s="131"/>
      <c r="C76" s="131"/>
      <c r="D76" s="132">
        <f aca="true" t="shared" si="14" ref="D76:O76">IF(TA*DP=0,"N/A",(NS*DY)/(TA*DP))</f>
        <v>0.38118468449553733</v>
      </c>
      <c r="E76" s="132">
        <f t="shared" si="14"/>
        <v>0.3659133214956842</v>
      </c>
      <c r="F76" s="132">
        <f t="shared" si="14"/>
        <v>0.3901383049223212</v>
      </c>
      <c r="G76" s="132">
        <f t="shared" si="14"/>
        <v>0.37877682234924</v>
      </c>
      <c r="H76" s="132">
        <f t="shared" si="14"/>
        <v>0.38439690951737765</v>
      </c>
      <c r="I76" s="132">
        <f t="shared" si="14"/>
        <v>0.39778446626779845</v>
      </c>
      <c r="J76" s="132">
        <f t="shared" si="14"/>
        <v>0.3852732283950292</v>
      </c>
      <c r="K76" s="132">
        <f t="shared" si="14"/>
        <v>0.39817633900068017</v>
      </c>
      <c r="L76" s="132">
        <f t="shared" si="14"/>
        <v>0.38521053790423704</v>
      </c>
      <c r="M76" s="132">
        <f t="shared" si="14"/>
        <v>0.38487196368219256</v>
      </c>
      <c r="N76" s="132">
        <f t="shared" si="14"/>
        <v>0.41090300887885906</v>
      </c>
      <c r="O76" s="132">
        <f t="shared" si="14"/>
        <v>0.3797951243519227</v>
      </c>
      <c r="P76" s="16"/>
      <c r="Q76" s="16"/>
      <c r="R76" s="16"/>
    </row>
    <row r="77" spans="1:18" ht="12.75">
      <c r="A77" s="127" t="s">
        <v>270</v>
      </c>
      <c r="B77" s="127"/>
      <c r="C77" s="127"/>
      <c r="D77" s="129">
        <f aca="true" t="shared" si="15" ref="D77:O77">IF(NW*DP=0,"N/A",(NS*DY)/(NW*DP))</f>
        <v>0.4626227617272972</v>
      </c>
      <c r="E77" s="129">
        <f t="shared" si="15"/>
        <v>0.4436047176284159</v>
      </c>
      <c r="F77" s="129">
        <f t="shared" si="15"/>
        <v>0.47243463889486975</v>
      </c>
      <c r="G77" s="129">
        <f t="shared" si="15"/>
        <v>0.4581239853942416</v>
      </c>
      <c r="H77" s="129">
        <f t="shared" si="15"/>
        <v>0.4643373506079699</v>
      </c>
      <c r="I77" s="129">
        <f t="shared" si="15"/>
        <v>0.479870130708164</v>
      </c>
      <c r="J77" s="129">
        <f t="shared" si="15"/>
        <v>0.46418177782802833</v>
      </c>
      <c r="K77" s="129">
        <f t="shared" si="15"/>
        <v>0.47918308609221305</v>
      </c>
      <c r="L77" s="129">
        <f t="shared" si="15"/>
        <v>0.46304227310336715</v>
      </c>
      <c r="M77" s="129">
        <f t="shared" si="15"/>
        <v>0.46214852051747785</v>
      </c>
      <c r="N77" s="129">
        <f t="shared" si="15"/>
        <v>0.4928585236592992</v>
      </c>
      <c r="O77" s="129">
        <f t="shared" si="15"/>
        <v>0.45506809426813927</v>
      </c>
      <c r="P77" s="16"/>
      <c r="Q77" s="16"/>
      <c r="R77" s="16"/>
    </row>
    <row r="78" spans="1:18" ht="12.75">
      <c r="A78" s="131" t="s">
        <v>271</v>
      </c>
      <c r="B78" s="131"/>
      <c r="C78" s="131"/>
      <c r="D78" s="132">
        <f aca="true" t="shared" si="16" ref="D78:O78">IF(NS=0,"N/A",ADE/NS)</f>
        <v>0.03856289035021415</v>
      </c>
      <c r="E78" s="132">
        <f t="shared" si="16"/>
        <v>0.03856290223909803</v>
      </c>
      <c r="F78" s="132">
        <f t="shared" si="16"/>
        <v>0.03856287604121809</v>
      </c>
      <c r="G78" s="132">
        <f t="shared" si="16"/>
        <v>0.03856284189910178</v>
      </c>
      <c r="H78" s="132">
        <f t="shared" si="16"/>
        <v>0.03856288958736114</v>
      </c>
      <c r="I78" s="132">
        <f t="shared" si="16"/>
        <v>0.038562836817579035</v>
      </c>
      <c r="J78" s="132">
        <f t="shared" si="16"/>
        <v>0.03856288094413482</v>
      </c>
      <c r="K78" s="132">
        <f t="shared" si="16"/>
        <v>0.038562908487259684</v>
      </c>
      <c r="L78" s="132">
        <f t="shared" si="16"/>
        <v>0.038562855451706166</v>
      </c>
      <c r="M78" s="132">
        <f t="shared" si="16"/>
        <v>0.038562886333065816</v>
      </c>
      <c r="N78" s="132">
        <f t="shared" si="16"/>
        <v>0.03856283865696217</v>
      </c>
      <c r="O78" s="132">
        <f t="shared" si="16"/>
        <v>0.038562866932512166</v>
      </c>
      <c r="P78" s="16"/>
      <c r="Q78" s="16"/>
      <c r="R78" s="16"/>
    </row>
    <row r="79" spans="1:18" ht="12.75">
      <c r="A79" s="124" t="s">
        <v>272</v>
      </c>
      <c r="B79" s="124"/>
      <c r="C79" s="125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6"/>
      <c r="Q79" s="16"/>
      <c r="R79" s="16"/>
    </row>
    <row r="80" spans="1:18" ht="12.75">
      <c r="A80" s="127" t="s">
        <v>273</v>
      </c>
      <c r="B80" s="127"/>
      <c r="C80" s="127"/>
      <c r="D80" s="135">
        <f aca="true" t="shared" si="17" ref="D80:O80">IF(NS=0,"N/A",(NS-COS)/NS)</f>
        <v>0.6109125875796113</v>
      </c>
      <c r="E80" s="135">
        <f t="shared" si="17"/>
        <v>0.610912505183874</v>
      </c>
      <c r="F80" s="135">
        <f t="shared" si="17"/>
        <v>0.6109125722028965</v>
      </c>
      <c r="G80" s="135">
        <f t="shared" si="17"/>
        <v>0.6109126226979312</v>
      </c>
      <c r="H80" s="135">
        <f t="shared" si="17"/>
        <v>0.6109125490064459</v>
      </c>
      <c r="I80" s="135">
        <f t="shared" si="17"/>
        <v>0.6109124794241849</v>
      </c>
      <c r="J80" s="135">
        <f t="shared" si="17"/>
        <v>0.6109125761297691</v>
      </c>
      <c r="K80" s="135">
        <f t="shared" si="17"/>
        <v>0.6109125792163417</v>
      </c>
      <c r="L80" s="135">
        <f t="shared" si="17"/>
        <v>0.6109125831889122</v>
      </c>
      <c r="M80" s="135">
        <f t="shared" si="17"/>
        <v>0.6109125629791463</v>
      </c>
      <c r="N80" s="135">
        <f t="shared" si="17"/>
        <v>0.6109125240095061</v>
      </c>
      <c r="O80" s="135">
        <f t="shared" si="17"/>
        <v>0.6109125589141792</v>
      </c>
      <c r="P80" s="16"/>
      <c r="Q80" s="16"/>
      <c r="R80" s="16"/>
    </row>
    <row r="81" spans="1:18" ht="12.75">
      <c r="A81" s="131" t="s">
        <v>274</v>
      </c>
      <c r="B81" s="131"/>
      <c r="C81" s="131"/>
      <c r="D81" s="137">
        <f aca="true" t="shared" si="18" ref="D81:O81">IF(NS=0,"N/A",OE/NS)</f>
        <v>-0.045442126212210346</v>
      </c>
      <c r="E81" s="137">
        <f t="shared" si="18"/>
        <v>-0.04544204517135293</v>
      </c>
      <c r="F81" s="137">
        <f t="shared" si="18"/>
        <v>-0.04544214858539281</v>
      </c>
      <c r="G81" s="137">
        <f t="shared" si="18"/>
        <v>-0.04544198285560493</v>
      </c>
      <c r="H81" s="137">
        <f t="shared" si="18"/>
        <v>-0.045442118016211674</v>
      </c>
      <c r="I81" s="137">
        <f t="shared" si="18"/>
        <v>-0.04544207469082317</v>
      </c>
      <c r="J81" s="137">
        <f t="shared" si="18"/>
        <v>-0.045442035920261956</v>
      </c>
      <c r="K81" s="137">
        <f t="shared" si="18"/>
        <v>-0.04544205712312778</v>
      </c>
      <c r="L81" s="137">
        <f t="shared" si="18"/>
        <v>-0.04544187307312322</v>
      </c>
      <c r="M81" s="137">
        <f t="shared" si="18"/>
        <v>-0.045442177443027525</v>
      </c>
      <c r="N81" s="137">
        <f t="shared" si="18"/>
        <v>-0.04544208612773032</v>
      </c>
      <c r="O81" s="137">
        <f t="shared" si="18"/>
        <v>-0.04544190993545514</v>
      </c>
      <c r="P81" s="16"/>
      <c r="Q81" s="16"/>
      <c r="R81" s="16"/>
    </row>
    <row r="82" spans="1:18" ht="12.75">
      <c r="A82" s="127" t="s">
        <v>275</v>
      </c>
      <c r="B82" s="127"/>
      <c r="C82" s="127"/>
      <c r="D82" s="129">
        <f aca="true" t="shared" si="19" ref="D82:O82">IF(TA*DP=0,"N/A",(NI*DY)/(TA*DP))</f>
        <v>0.23225665527470662</v>
      </c>
      <c r="E82" s="129">
        <f t="shared" si="19"/>
        <v>0.2229518030034217</v>
      </c>
      <c r="F82" s="129">
        <f t="shared" si="19"/>
        <v>0.23771214097991997</v>
      </c>
      <c r="G82" s="129">
        <f t="shared" si="19"/>
        <v>0.23078956858098676</v>
      </c>
      <c r="H82" s="129">
        <f t="shared" si="19"/>
        <v>0.23421392887230078</v>
      </c>
      <c r="I82" s="129">
        <f t="shared" si="19"/>
        <v>0.2423709850259123</v>
      </c>
      <c r="J82" s="129">
        <f t="shared" si="19"/>
        <v>0.23474785284629676</v>
      </c>
      <c r="K82" s="129">
        <f t="shared" si="19"/>
        <v>0.2426097487072902</v>
      </c>
      <c r="L82" s="129">
        <f t="shared" si="19"/>
        <v>0.23470959722217222</v>
      </c>
      <c r="M82" s="129">
        <f t="shared" si="19"/>
        <v>0.23450335647755488</v>
      </c>
      <c r="N82" s="129">
        <f t="shared" si="19"/>
        <v>0.25036415680282764</v>
      </c>
      <c r="O82" s="129">
        <f t="shared" si="19"/>
        <v>0.23141002226545257</v>
      </c>
      <c r="P82" s="16"/>
      <c r="Q82" s="16"/>
      <c r="R82" s="16"/>
    </row>
    <row r="83" spans="1:18" ht="12.75">
      <c r="A83" s="131" t="s">
        <v>276</v>
      </c>
      <c r="B83" s="131"/>
      <c r="C83" s="131"/>
      <c r="D83" s="132">
        <f aca="true" t="shared" si="20" ref="D83:O83">IF(NW*DP=0,"N/A",(NI*DY)/(NW*DP))</f>
        <v>0.2818770524186355</v>
      </c>
      <c r="E83" s="132">
        <f t="shared" si="20"/>
        <v>0.27028934396761395</v>
      </c>
      <c r="F83" s="132">
        <f t="shared" si="20"/>
        <v>0.2878554811661857</v>
      </c>
      <c r="G83" s="132">
        <f t="shared" si="20"/>
        <v>0.27913597323611805</v>
      </c>
      <c r="H83" s="132">
        <f t="shared" si="20"/>
        <v>0.2829218251119449</v>
      </c>
      <c r="I83" s="132">
        <f t="shared" si="20"/>
        <v>0.292385968098489</v>
      </c>
      <c r="J83" s="132">
        <f t="shared" si="20"/>
        <v>0.2828270111822602</v>
      </c>
      <c r="K83" s="132">
        <f t="shared" si="20"/>
        <v>0.2919673438993999</v>
      </c>
      <c r="L83" s="132">
        <f t="shared" si="20"/>
        <v>0.28213263844809</v>
      </c>
      <c r="M83" s="132">
        <f t="shared" si="20"/>
        <v>0.28158813704075236</v>
      </c>
      <c r="N83" s="132">
        <f t="shared" si="20"/>
        <v>0.30029984213482736</v>
      </c>
      <c r="O83" s="132">
        <f t="shared" si="20"/>
        <v>0.27727401189412887</v>
      </c>
      <c r="P83" s="16"/>
      <c r="Q83" s="16"/>
      <c r="R83" s="16"/>
    </row>
    <row r="84" spans="1:18" ht="12.75">
      <c r="A84" s="127" t="s">
        <v>277</v>
      </c>
      <c r="B84" s="127"/>
      <c r="C84" s="127"/>
      <c r="D84" s="129">
        <f aca="true" t="shared" si="21" ref="D84:O84">IF(NS=0,"N/A",NI/NS)</f>
        <v>0.6093021695823819</v>
      </c>
      <c r="E84" s="129">
        <f t="shared" si="21"/>
        <v>0.6093022306269092</v>
      </c>
      <c r="F84" s="129">
        <f t="shared" si="21"/>
        <v>0.609302234568456</v>
      </c>
      <c r="G84" s="129">
        <f t="shared" si="21"/>
        <v>0.6093022459758481</v>
      </c>
      <c r="H84" s="129">
        <f t="shared" si="21"/>
        <v>0.609302320266736</v>
      </c>
      <c r="I84" s="129">
        <f t="shared" si="21"/>
        <v>0.6093022869896133</v>
      </c>
      <c r="J84" s="129">
        <f t="shared" si="21"/>
        <v>0.6093022705579859</v>
      </c>
      <c r="K84" s="129">
        <f t="shared" si="21"/>
        <v>0.6093022737518208</v>
      </c>
      <c r="L84" s="129">
        <f t="shared" si="21"/>
        <v>0.6093021195607083</v>
      </c>
      <c r="M84" s="129">
        <f t="shared" si="21"/>
        <v>0.609302257909323</v>
      </c>
      <c r="N84" s="129">
        <f t="shared" si="21"/>
        <v>0.6093023204817639</v>
      </c>
      <c r="O84" s="129">
        <f t="shared" si="21"/>
        <v>0.6093022459420129</v>
      </c>
      <c r="P84" s="16"/>
      <c r="Q84" s="16"/>
      <c r="R84" s="16"/>
    </row>
    <row r="85" spans="1:18" ht="12.75">
      <c r="A85" s="131" t="s">
        <v>278</v>
      </c>
      <c r="B85" s="131"/>
      <c r="C85" s="131"/>
      <c r="D85" s="132">
        <f aca="true" t="shared" si="22" ref="D85:O85">IF(NW*DP=0,"N/A",(IBT*DY)/(NW*DP))</f>
        <v>0.2983221411361786</v>
      </c>
      <c r="E85" s="132">
        <f t="shared" si="22"/>
        <v>0.2860582893477075</v>
      </c>
      <c r="F85" s="132">
        <f t="shared" si="22"/>
        <v>0.3046493307390613</v>
      </c>
      <c r="G85" s="132">
        <f t="shared" si="22"/>
        <v>0.2954210577183702</v>
      </c>
      <c r="H85" s="132">
        <f t="shared" si="22"/>
        <v>0.29942777135643317</v>
      </c>
      <c r="I85" s="132">
        <f t="shared" si="22"/>
        <v>0.3094440252363884</v>
      </c>
      <c r="J85" s="132">
        <f t="shared" si="22"/>
        <v>0.29932742538612805</v>
      </c>
      <c r="K85" s="132">
        <f t="shared" si="22"/>
        <v>0.309001024029203</v>
      </c>
      <c r="L85" s="132">
        <f t="shared" si="22"/>
        <v>0.2985925446467707</v>
      </c>
      <c r="M85" s="132">
        <f t="shared" si="22"/>
        <v>0.2980163392348582</v>
      </c>
      <c r="N85" s="132">
        <f t="shared" si="22"/>
        <v>0.3178196121532112</v>
      </c>
      <c r="O85" s="132">
        <f t="shared" si="22"/>
        <v>0.29345040538281586</v>
      </c>
      <c r="P85" s="16"/>
      <c r="Q85" s="16"/>
      <c r="R85" s="16"/>
    </row>
    <row r="86" spans="1:18" ht="12.75">
      <c r="A86" s="127" t="s">
        <v>279</v>
      </c>
      <c r="B86" s="127"/>
      <c r="C86" s="127"/>
      <c r="D86" s="129">
        <f aca="true" t="shared" si="23" ref="D86:O86">IF(TA*DP=0,"N/A",(IBT*DY)/(TA*DP))</f>
        <v>0.24580682286890937</v>
      </c>
      <c r="E86" s="129">
        <f t="shared" si="23"/>
        <v>0.23595902982319447</v>
      </c>
      <c r="F86" s="129">
        <f t="shared" si="23"/>
        <v>0.25158056523604255</v>
      </c>
      <c r="G86" s="129">
        <f t="shared" si="23"/>
        <v>0.24425407327520857</v>
      </c>
      <c r="H86" s="129">
        <f t="shared" si="23"/>
        <v>0.24787820704577482</v>
      </c>
      <c r="I86" s="129">
        <f t="shared" si="23"/>
        <v>0.2565111236174754</v>
      </c>
      <c r="J86" s="129">
        <f t="shared" si="23"/>
        <v>0.24844328027114193</v>
      </c>
      <c r="K86" s="129">
        <f t="shared" si="23"/>
        <v>0.2567638551243277</v>
      </c>
      <c r="L86" s="129">
        <f t="shared" si="23"/>
        <v>0.24840279477442176</v>
      </c>
      <c r="M86" s="129">
        <f t="shared" si="23"/>
        <v>0.2481845740028948</v>
      </c>
      <c r="N86" s="129">
        <f t="shared" si="23"/>
        <v>0.26497063283974404</v>
      </c>
      <c r="O86" s="129">
        <f t="shared" si="23"/>
        <v>0.24491067294605479</v>
      </c>
      <c r="P86" s="16"/>
      <c r="Q86" s="16"/>
      <c r="R86" s="16"/>
    </row>
    <row r="87" spans="1:18" ht="12.75">
      <c r="A87" s="131" t="s">
        <v>280</v>
      </c>
      <c r="B87" s="131"/>
      <c r="C87" s="131"/>
      <c r="D87" s="132">
        <f aca="true" t="shared" si="24" ref="D87:O87">IF(NI*DY=0,"N/A",((NW-EQ)*DP)/(NI*DY))</f>
        <v>3.545371290150182</v>
      </c>
      <c r="E87" s="132">
        <f t="shared" si="24"/>
        <v>3.6973664863527733</v>
      </c>
      <c r="F87" s="132">
        <f t="shared" si="24"/>
        <v>3.471742932763083</v>
      </c>
      <c r="G87" s="132">
        <f t="shared" si="24"/>
        <v>3.5801805657363572</v>
      </c>
      <c r="H87" s="132">
        <f t="shared" si="24"/>
        <v>3.5322808528736425</v>
      </c>
      <c r="I87" s="132">
        <f t="shared" si="24"/>
        <v>3.4179338692469496</v>
      </c>
      <c r="J87" s="132">
        <f t="shared" si="24"/>
        <v>3.5334617484504034</v>
      </c>
      <c r="K87" s="132">
        <f t="shared" si="24"/>
        <v>3.4228378093754004</v>
      </c>
      <c r="L87" s="132">
        <f t="shared" si="24"/>
        <v>3.542150527295049</v>
      </c>
      <c r="M87" s="132">
        <f t="shared" si="24"/>
        <v>3.5490003138702604</v>
      </c>
      <c r="N87" s="132">
        <f t="shared" si="24"/>
        <v>3.327868341361355</v>
      </c>
      <c r="O87" s="132">
        <f t="shared" si="24"/>
        <v>3.6042319162827297</v>
      </c>
      <c r="P87" s="16"/>
      <c r="Q87" s="16"/>
      <c r="R87" s="16"/>
    </row>
    <row r="88" spans="1:18" ht="12.75">
      <c r="A88" s="124" t="s">
        <v>281</v>
      </c>
      <c r="B88" s="124"/>
      <c r="C88" s="125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6"/>
      <c r="Q88" s="16"/>
      <c r="R88" s="16"/>
    </row>
    <row r="89" spans="1:18" ht="12.75">
      <c r="A89" s="127" t="s">
        <v>282</v>
      </c>
      <c r="B89" s="127"/>
      <c r="C89" s="127"/>
      <c r="D89" s="129">
        <f aca="true" t="shared" si="25" ref="D89:O89">IF(INT=0,"N/A",IBIT/INT)</f>
        <v>57.04936491048829</v>
      </c>
      <c r="E89" s="129">
        <f t="shared" si="25"/>
        <v>57.04935536163379</v>
      </c>
      <c r="F89" s="129">
        <f t="shared" si="25"/>
        <v>57.049369913739895</v>
      </c>
      <c r="G89" s="129">
        <f t="shared" si="25"/>
        <v>57.049362645353916</v>
      </c>
      <c r="H89" s="129">
        <f t="shared" si="25"/>
        <v>57.04935914916826</v>
      </c>
      <c r="I89" s="129">
        <f t="shared" si="25"/>
        <v>57.04935422081015</v>
      </c>
      <c r="J89" s="129">
        <f t="shared" si="25"/>
        <v>57.049360753300505</v>
      </c>
      <c r="K89" s="129">
        <f t="shared" si="25"/>
        <v>57.04935914916826</v>
      </c>
      <c r="L89" s="129">
        <f t="shared" si="25"/>
        <v>57.049353021022604</v>
      </c>
      <c r="M89" s="129">
        <f t="shared" si="25"/>
        <v>57.04936813935996</v>
      </c>
      <c r="N89" s="129">
        <f t="shared" si="25"/>
        <v>57.04936208145301</v>
      </c>
      <c r="O89" s="129">
        <f t="shared" si="25"/>
        <v>57.049350445897566</v>
      </c>
      <c r="P89" s="16"/>
      <c r="Q89" s="16"/>
      <c r="R89" s="16"/>
    </row>
    <row r="90" spans="1:18" ht="12.75">
      <c r="A90" s="131" t="s">
        <v>283</v>
      </c>
      <c r="B90" s="131"/>
      <c r="C90" s="131"/>
      <c r="D90" s="132">
        <f aca="true" t="shared" si="26" ref="D90:O90">IF(NS=0,"N/A",INT/NS)</f>
        <v>0.011505031034467369</v>
      </c>
      <c r="E90" s="132">
        <f t="shared" si="26"/>
        <v>0.011505030095337963</v>
      </c>
      <c r="F90" s="132">
        <f t="shared" si="26"/>
        <v>0.011505030148110565</v>
      </c>
      <c r="G90" s="132">
        <f t="shared" si="26"/>
        <v>0.011505029593998267</v>
      </c>
      <c r="H90" s="132">
        <f t="shared" si="26"/>
        <v>0.011505031376539606</v>
      </c>
      <c r="I90" s="132">
        <f t="shared" si="26"/>
        <v>0.01150503039130961</v>
      </c>
      <c r="J90" s="132">
        <f t="shared" si="26"/>
        <v>0.011505030089439847</v>
      </c>
      <c r="K90" s="132">
        <f t="shared" si="26"/>
        <v>0.011505030838703797</v>
      </c>
      <c r="L90" s="132">
        <f t="shared" si="26"/>
        <v>0.011505028918034703</v>
      </c>
      <c r="M90" s="132">
        <f t="shared" si="26"/>
        <v>0.011505030850102202</v>
      </c>
      <c r="N90" s="132">
        <f t="shared" si="26"/>
        <v>0.011505029788065241</v>
      </c>
      <c r="O90" s="132">
        <f t="shared" si="26"/>
        <v>0.011505029657999077</v>
      </c>
      <c r="P90" s="16"/>
      <c r="Q90" s="16"/>
      <c r="R90" s="16"/>
    </row>
    <row r="91" spans="1:18" ht="12.75">
      <c r="A91" s="127" t="s">
        <v>284</v>
      </c>
      <c r="B91" s="127"/>
      <c r="C91" s="127"/>
      <c r="D91" s="129">
        <f aca="true" t="shared" si="27" ref="D91:O91">IF(NW=0,"N/A",CL/NW)</f>
        <v>0.2115142833225934</v>
      </c>
      <c r="E91" s="129">
        <f t="shared" si="27"/>
        <v>0.21018935198070562</v>
      </c>
      <c r="F91" s="129">
        <f t="shared" si="27"/>
        <v>0.2088172309206717</v>
      </c>
      <c r="G91" s="129">
        <f t="shared" si="27"/>
        <v>0.20736474482754857</v>
      </c>
      <c r="H91" s="129">
        <f t="shared" si="27"/>
        <v>0.20585748296691522</v>
      </c>
      <c r="I91" s="129">
        <f t="shared" si="27"/>
        <v>0.20425895679415101</v>
      </c>
      <c r="J91" s="129">
        <f t="shared" si="27"/>
        <v>0.20272230490441995</v>
      </c>
      <c r="K91" s="129">
        <f t="shared" si="27"/>
        <v>0.20136502864138117</v>
      </c>
      <c r="L91" s="129">
        <f t="shared" si="27"/>
        <v>0.19998336405302075</v>
      </c>
      <c r="M91" s="129">
        <f t="shared" si="27"/>
        <v>0.19872865260225264</v>
      </c>
      <c r="N91" s="129">
        <f t="shared" si="27"/>
        <v>0.1974113254138003</v>
      </c>
      <c r="O91" s="129">
        <f t="shared" si="27"/>
        <v>0.1961659526111931</v>
      </c>
      <c r="P91" s="16"/>
      <c r="Q91" s="16"/>
      <c r="R91" s="16"/>
    </row>
    <row r="92" spans="1:18" ht="12.75">
      <c r="A92" s="131" t="s">
        <v>285</v>
      </c>
      <c r="B92" s="131"/>
      <c r="C92" s="131"/>
      <c r="D92" s="132">
        <f aca="true" t="shared" si="28" ref="D92:O92">IF(INV=0,"N/A",CL/INV)</f>
        <v>3.1849145909150174</v>
      </c>
      <c r="E92" s="132">
        <f t="shared" si="28"/>
        <v>3.203951552779452</v>
      </c>
      <c r="F92" s="132">
        <f t="shared" si="28"/>
        <v>3.1841935689816365</v>
      </c>
      <c r="G92" s="132">
        <f t="shared" si="28"/>
        <v>3.199057932872435</v>
      </c>
      <c r="H92" s="132">
        <f t="shared" si="28"/>
        <v>3.1970510621173074</v>
      </c>
      <c r="I92" s="132">
        <f t="shared" si="28"/>
        <v>3.211934751467283</v>
      </c>
      <c r="J92" s="132">
        <f t="shared" si="28"/>
        <v>3.2284921831436058</v>
      </c>
      <c r="K92" s="132">
        <f t="shared" si="28"/>
        <v>3.2475403200107094</v>
      </c>
      <c r="L92" s="132">
        <f t="shared" si="28"/>
        <v>3.266739292843658</v>
      </c>
      <c r="M92" s="132">
        <f t="shared" si="28"/>
        <v>3.2875931409514787</v>
      </c>
      <c r="N92" s="132">
        <f t="shared" si="28"/>
        <v>3.308413937591953</v>
      </c>
      <c r="O92" s="132">
        <f t="shared" si="28"/>
        <v>3.346755457430794</v>
      </c>
      <c r="P92" s="16"/>
      <c r="Q92" s="16"/>
      <c r="R92" s="16"/>
    </row>
    <row r="93" spans="1:18" ht="12.75">
      <c r="A93" s="127" t="s">
        <v>286</v>
      </c>
      <c r="B93" s="127"/>
      <c r="C93" s="127"/>
      <c r="D93" s="129">
        <f aca="true" t="shared" si="29" ref="D93:O93">IF(NS*DY=0,"N/A",(AP*DP)/(NS*DY))</f>
        <v>0.37886641542640037</v>
      </c>
      <c r="E93" s="129">
        <f t="shared" si="29"/>
        <v>0.3917762145606488</v>
      </c>
      <c r="F93" s="129">
        <f t="shared" si="29"/>
        <v>0.36476774628625874</v>
      </c>
      <c r="G93" s="129">
        <f t="shared" si="29"/>
        <v>0.37299506092794377</v>
      </c>
      <c r="H93" s="129">
        <f t="shared" si="29"/>
        <v>0.3649289045284181</v>
      </c>
      <c r="I93" s="129">
        <f t="shared" si="29"/>
        <v>0.3501941571141507</v>
      </c>
      <c r="J93" s="129">
        <f t="shared" si="29"/>
        <v>0.3590833346198291</v>
      </c>
      <c r="K93" s="129">
        <f t="shared" si="29"/>
        <v>0.3450557700190615</v>
      </c>
      <c r="L93" s="129">
        <f t="shared" si="29"/>
        <v>0.3542740990376068</v>
      </c>
      <c r="M93" s="129">
        <f t="shared" si="29"/>
        <v>0.35221740058528506</v>
      </c>
      <c r="N93" s="129">
        <f t="shared" si="29"/>
        <v>0.3277654817346565</v>
      </c>
      <c r="O93" s="129">
        <f t="shared" si="29"/>
        <v>0.3523572079876924</v>
      </c>
      <c r="P93" s="16"/>
      <c r="Q93" s="16"/>
      <c r="R93" s="16"/>
    </row>
    <row r="94" spans="1:18" ht="12.75">
      <c r="A94" s="131" t="s">
        <v>287</v>
      </c>
      <c r="B94" s="131"/>
      <c r="C94" s="131"/>
      <c r="D94" s="132">
        <f aca="true" t="shared" si="30" ref="D94:O94">IF(NW=0,"N/A",TL/NW)</f>
        <v>0.21364467289533332</v>
      </c>
      <c r="E94" s="132">
        <f t="shared" si="30"/>
        <v>0.21232185757863434</v>
      </c>
      <c r="F94" s="132">
        <f t="shared" si="30"/>
        <v>0.21094143521470968</v>
      </c>
      <c r="G94" s="132">
        <f t="shared" si="30"/>
        <v>0.2094826250267287</v>
      </c>
      <c r="H94" s="132">
        <f t="shared" si="30"/>
        <v>0.2079632773087587</v>
      </c>
      <c r="I94" s="132">
        <f t="shared" si="30"/>
        <v>0.20635713910734604</v>
      </c>
      <c r="J94" s="132">
        <f t="shared" si="30"/>
        <v>0.20481191948300237</v>
      </c>
      <c r="K94" s="132">
        <f t="shared" si="30"/>
        <v>0.20344440178147924</v>
      </c>
      <c r="L94" s="132">
        <f t="shared" si="30"/>
        <v>0.20204985985736196</v>
      </c>
      <c r="M94" s="132">
        <f t="shared" si="30"/>
        <v>0.20078510291047408</v>
      </c>
      <c r="N94" s="132">
        <f t="shared" si="30"/>
        <v>0.19945221380601294</v>
      </c>
      <c r="O94" s="132">
        <f t="shared" si="30"/>
        <v>0.1981936183216183</v>
      </c>
      <c r="P94" s="16"/>
      <c r="Q94" s="16"/>
      <c r="R94" s="16"/>
    </row>
    <row r="95" spans="1:18" ht="12.75">
      <c r="A95" s="127" t="s">
        <v>288</v>
      </c>
      <c r="B95" s="127"/>
      <c r="C95" s="127"/>
      <c r="D95" s="129">
        <f aca="true" t="shared" si="31" ref="D95:O95">IF(TL=0,"N/A",NW/TL)</f>
        <v>4.680669011999705</v>
      </c>
      <c r="E95" s="129">
        <f t="shared" si="31"/>
        <v>4.709830685376542</v>
      </c>
      <c r="F95" s="129">
        <f t="shared" si="31"/>
        <v>4.740652299924555</v>
      </c>
      <c r="G95" s="129">
        <f t="shared" si="31"/>
        <v>4.773665595761969</v>
      </c>
      <c r="H95" s="129">
        <f t="shared" si="31"/>
        <v>4.808541262385095</v>
      </c>
      <c r="I95" s="129">
        <f t="shared" si="31"/>
        <v>4.845967550847876</v>
      </c>
      <c r="J95" s="129">
        <f t="shared" si="31"/>
        <v>4.882528333918532</v>
      </c>
      <c r="K95" s="129">
        <f t="shared" si="31"/>
        <v>4.91534783578909</v>
      </c>
      <c r="L95" s="129">
        <f t="shared" si="31"/>
        <v>4.949273415512165</v>
      </c>
      <c r="M95" s="129">
        <f t="shared" si="31"/>
        <v>4.980449174288987</v>
      </c>
      <c r="N95" s="129">
        <f t="shared" si="31"/>
        <v>5.0137322665799</v>
      </c>
      <c r="O95" s="129">
        <f t="shared" si="31"/>
        <v>5.045571136287809</v>
      </c>
      <c r="P95" s="16"/>
      <c r="Q95" s="16"/>
      <c r="R95" s="16"/>
    </row>
    <row r="96" spans="1:17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ht="12.75">
      <c r="A97" s="16" t="s">
        <v>312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1:17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1:17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</sheetData>
  <sheetProtection/>
  <printOptions/>
  <pageMargins left="0.37" right="0.25" top="0.72" bottom="1" header="0.5" footer="0.5"/>
  <pageSetup horizontalDpi="300" verticalDpi="300" orientation="portrait" r:id="rId4"/>
  <headerFooter alignWithMargins="0">
    <oddFooter>&amp;C© Copyright, 2003, JaxWorks, All Rights Reserved.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140625" style="0" bestFit="1" customWidth="1"/>
    <col min="2" max="2" width="18.7109375" style="0" customWidth="1"/>
    <col min="7" max="7" width="27.57421875" style="0" customWidth="1"/>
  </cols>
  <sheetData>
    <row r="1" ht="12.75">
      <c r="A1" s="102" t="s">
        <v>153</v>
      </c>
    </row>
    <row r="2" ht="12.75">
      <c r="A2" s="102" t="s">
        <v>154</v>
      </c>
    </row>
    <row r="3" ht="12.75">
      <c r="A3" s="102" t="s">
        <v>289</v>
      </c>
    </row>
    <row r="8" spans="1:2" ht="12.75">
      <c r="A8" t="s">
        <v>4</v>
      </c>
      <c r="B8" t="s">
        <v>290</v>
      </c>
    </row>
    <row r="9" spans="1:2" ht="12.75">
      <c r="A9" t="s">
        <v>291</v>
      </c>
      <c r="B9" s="140">
        <v>2</v>
      </c>
    </row>
    <row r="10" spans="1:2" ht="12.75">
      <c r="A10" t="s">
        <v>292</v>
      </c>
      <c r="B10" s="140">
        <v>4</v>
      </c>
    </row>
    <row r="11" spans="1:2" ht="12.75">
      <c r="A11" t="s">
        <v>293</v>
      </c>
      <c r="B11" s="140">
        <v>6</v>
      </c>
    </row>
    <row r="12" spans="1:2" ht="12.75">
      <c r="A12" t="s">
        <v>294</v>
      </c>
      <c r="B12" s="140">
        <v>8</v>
      </c>
    </row>
    <row r="13" spans="1:2" ht="12.75">
      <c r="A13" t="s">
        <v>295</v>
      </c>
      <c r="B13" s="140">
        <v>6</v>
      </c>
    </row>
    <row r="14" spans="1:2" ht="12.75">
      <c r="A14" t="s">
        <v>296</v>
      </c>
      <c r="B14" s="140">
        <v>5</v>
      </c>
    </row>
    <row r="15" spans="1:2" ht="12.75">
      <c r="A15" t="s">
        <v>297</v>
      </c>
      <c r="B15" s="140">
        <v>4</v>
      </c>
    </row>
    <row r="16" spans="1:2" ht="12.75">
      <c r="A16" t="s">
        <v>298</v>
      </c>
      <c r="B16" s="140">
        <v>3</v>
      </c>
    </row>
    <row r="28" ht="12.75">
      <c r="A28" t="s">
        <v>312</v>
      </c>
    </row>
  </sheetData>
  <sheetProtection/>
  <printOptions/>
  <pageMargins left="0.37" right="0.25" top="0.72" bottom="1" header="0.5" footer="0.5"/>
  <pageSetup horizontalDpi="300" verticalDpi="300" orientation="portrait" r:id="rId2"/>
  <headerFooter alignWithMargins="0">
    <oddFooter>&amp;C© Copyright, 2003, JaxWorks, All Rights Reserved.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8.28125" style="0" bestFit="1" customWidth="1"/>
    <col min="3" max="3" width="27.28125" style="0" customWidth="1"/>
    <col min="4" max="4" width="11.28125" style="0" bestFit="1" customWidth="1"/>
    <col min="5" max="5" width="11.8515625" style="0" bestFit="1" customWidth="1"/>
    <col min="6" max="6" width="11.57421875" style="0" bestFit="1" customWidth="1"/>
    <col min="7" max="7" width="11.28125" style="0" bestFit="1" customWidth="1"/>
    <col min="8" max="10" width="11.57421875" style="0" bestFit="1" customWidth="1"/>
    <col min="11" max="11" width="11.00390625" style="0" bestFit="1" customWidth="1"/>
    <col min="12" max="12" width="11.28125" style="0" bestFit="1" customWidth="1"/>
    <col min="13" max="14" width="11.57421875" style="0" bestFit="1" customWidth="1"/>
  </cols>
  <sheetData>
    <row r="1" ht="12.75">
      <c r="A1" s="102" t="s">
        <v>153</v>
      </c>
    </row>
    <row r="2" ht="12.75">
      <c r="A2" s="102" t="s">
        <v>154</v>
      </c>
    </row>
    <row r="3" ht="12.75">
      <c r="A3" s="102" t="s">
        <v>289</v>
      </c>
    </row>
    <row r="6" spans="2:15" ht="12.75">
      <c r="B6" s="138" t="s">
        <v>299</v>
      </c>
      <c r="C6" s="139" t="s">
        <v>300</v>
      </c>
      <c r="D6" s="139" t="s">
        <v>240</v>
      </c>
      <c r="E6" s="139" t="s">
        <v>301</v>
      </c>
      <c r="F6" s="139" t="s">
        <v>302</v>
      </c>
      <c r="G6" s="139" t="s">
        <v>303</v>
      </c>
      <c r="H6" s="139" t="s">
        <v>304</v>
      </c>
      <c r="I6" s="139" t="s">
        <v>305</v>
      </c>
      <c r="J6" s="139" t="s">
        <v>306</v>
      </c>
      <c r="K6" s="139" t="s">
        <v>307</v>
      </c>
      <c r="L6" s="139" t="s">
        <v>308</v>
      </c>
      <c r="M6" s="139" t="s">
        <v>309</v>
      </c>
      <c r="N6" s="139" t="s">
        <v>310</v>
      </c>
      <c r="O6" s="138"/>
    </row>
    <row r="7" spans="2:15" ht="12.75">
      <c r="B7" s="138" t="s">
        <v>56</v>
      </c>
      <c r="C7" s="141">
        <v>452596.78</v>
      </c>
      <c r="D7" s="141">
        <v>458971.42</v>
      </c>
      <c r="E7" s="141">
        <v>484469.83</v>
      </c>
      <c r="F7" s="141">
        <v>497219.06</v>
      </c>
      <c r="G7" s="141">
        <v>516342.79</v>
      </c>
      <c r="H7" s="141">
        <v>529092.04</v>
      </c>
      <c r="I7" s="141">
        <v>541841.26</v>
      </c>
      <c r="J7" s="141">
        <v>554590.43</v>
      </c>
      <c r="K7" s="141">
        <v>567339.73</v>
      </c>
      <c r="L7" s="141">
        <v>580088.84</v>
      </c>
      <c r="M7" s="141">
        <v>592838.1</v>
      </c>
      <c r="N7" s="141">
        <v>599212.71</v>
      </c>
      <c r="O7" s="138"/>
    </row>
    <row r="8" spans="2:15" ht="12.75">
      <c r="B8" s="138" t="s">
        <v>134</v>
      </c>
      <c r="C8" s="141">
        <v>176099.71</v>
      </c>
      <c r="D8" s="141">
        <v>178580.04</v>
      </c>
      <c r="E8" s="141">
        <v>188501.12</v>
      </c>
      <c r="F8" s="141">
        <v>193461.66</v>
      </c>
      <c r="G8" s="141">
        <v>200902.5</v>
      </c>
      <c r="H8" s="141">
        <v>205863.11</v>
      </c>
      <c r="I8" s="141">
        <v>210823.62</v>
      </c>
      <c r="J8" s="141">
        <v>215784.16</v>
      </c>
      <c r="K8" s="141">
        <v>220744.75</v>
      </c>
      <c r="L8" s="141">
        <v>225705.28</v>
      </c>
      <c r="M8" s="141">
        <v>230665.88</v>
      </c>
      <c r="N8" s="141">
        <v>233146.14</v>
      </c>
      <c r="O8" s="138"/>
    </row>
    <row r="9" spans="2:15" ht="12.75">
      <c r="B9" s="138" t="s">
        <v>311</v>
      </c>
      <c r="C9" s="141">
        <v>-15359.82</v>
      </c>
      <c r="D9" s="141">
        <v>-15576.12</v>
      </c>
      <c r="E9" s="141">
        <v>-16441.51</v>
      </c>
      <c r="F9" s="141">
        <v>-16874.1</v>
      </c>
      <c r="G9" s="141">
        <v>-17523.17</v>
      </c>
      <c r="H9" s="141">
        <v>-17955.82</v>
      </c>
      <c r="I9" s="141">
        <v>-18388.47</v>
      </c>
      <c r="J9" s="141">
        <v>-18821.15</v>
      </c>
      <c r="K9" s="141">
        <v>-19253.72</v>
      </c>
      <c r="L9" s="141">
        <v>-19686.56</v>
      </c>
      <c r="M9" s="141">
        <v>-20119.18</v>
      </c>
      <c r="N9" s="141">
        <v>-20335.41</v>
      </c>
      <c r="O9" s="138"/>
    </row>
    <row r="10" spans="2:15" ht="12.75">
      <c r="B10" s="138" t="s">
        <v>74</v>
      </c>
      <c r="C10" s="141">
        <v>276497.07</v>
      </c>
      <c r="D10" s="141">
        <v>280391.38</v>
      </c>
      <c r="E10" s="141">
        <v>295968.71</v>
      </c>
      <c r="F10" s="141">
        <v>303757.4</v>
      </c>
      <c r="G10" s="141">
        <v>315440.29</v>
      </c>
      <c r="H10" s="141">
        <v>323228.93</v>
      </c>
      <c r="I10" s="141">
        <v>331017.64</v>
      </c>
      <c r="J10" s="141">
        <v>338806.27</v>
      </c>
      <c r="K10" s="141">
        <v>346594.98</v>
      </c>
      <c r="L10" s="141">
        <v>354383.56</v>
      </c>
      <c r="M10" s="141">
        <v>362172.22</v>
      </c>
      <c r="N10" s="141">
        <v>366066.57</v>
      </c>
      <c r="O10" s="138"/>
    </row>
    <row r="11" spans="2:15" ht="12.75">
      <c r="B11" s="138" t="s">
        <v>144</v>
      </c>
      <c r="C11" s="141">
        <v>291856.89</v>
      </c>
      <c r="D11" s="141">
        <v>295967.5</v>
      </c>
      <c r="E11" s="141">
        <v>312410.22</v>
      </c>
      <c r="F11" s="141">
        <v>320631.5</v>
      </c>
      <c r="G11" s="141">
        <v>332963.46</v>
      </c>
      <c r="H11" s="141">
        <v>341184.75</v>
      </c>
      <c r="I11" s="141">
        <v>349406.11</v>
      </c>
      <c r="J11" s="141">
        <v>357627.42</v>
      </c>
      <c r="K11" s="141">
        <v>365848.7</v>
      </c>
      <c r="L11" s="141">
        <v>374070.12</v>
      </c>
      <c r="M11" s="141">
        <v>382291.4</v>
      </c>
      <c r="N11" s="141">
        <v>386401.98</v>
      </c>
      <c r="O11" s="138"/>
    </row>
    <row r="12" spans="2:15" ht="12.75">
      <c r="B12" s="138"/>
      <c r="O12" s="138"/>
    </row>
    <row r="18" ht="3.75" customHeight="1"/>
    <row r="19" ht="15" customHeight="1"/>
    <row r="20" ht="8.25" customHeight="1"/>
    <row r="41" ht="12.75">
      <c r="A41" t="s">
        <v>312</v>
      </c>
    </row>
  </sheetData>
  <sheetProtection/>
  <printOptions/>
  <pageMargins left="0.37" right="0.25" top="0.72" bottom="1" header="0.5" footer="0.5"/>
  <pageSetup horizontalDpi="300" verticalDpi="300" orientation="portrait" r:id="rId2"/>
  <headerFooter alignWithMargins="0">
    <oddFooter>&amp;C© Copyright, 2003, JaxWorks, All Rights Reserved.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8515625" style="3" customWidth="1"/>
    <col min="2" max="2" width="32.421875" style="2" customWidth="1"/>
    <col min="3" max="3" width="9.7109375" style="2" customWidth="1"/>
    <col min="4" max="16384" width="9.140625" style="2" customWidth="1"/>
  </cols>
  <sheetData>
    <row r="1" ht="12"/>
    <row r="2" spans="1:3" ht="23.25" customHeight="1">
      <c r="A2" s="38"/>
      <c r="B2" s="4"/>
      <c r="C2" s="4"/>
    </row>
    <row r="3" spans="1:3" ht="12">
      <c r="A3" s="38"/>
      <c r="B3" s="4"/>
      <c r="C3" s="4"/>
    </row>
    <row r="4" spans="1:3" ht="12">
      <c r="A4" s="5" t="s">
        <v>0</v>
      </c>
      <c r="B4" s="6">
        <v>36586</v>
      </c>
      <c r="C4" s="4"/>
    </row>
    <row r="5" spans="1:3" s="40" customFormat="1" ht="12">
      <c r="A5" s="39"/>
      <c r="B5" s="39"/>
      <c r="C5" s="39"/>
    </row>
    <row r="6" spans="1:3" ht="12.75" thickBot="1">
      <c r="A6" s="41" t="s">
        <v>3</v>
      </c>
      <c r="B6" s="41" t="s">
        <v>4</v>
      </c>
      <c r="C6" s="42">
        <f>Report.Date</f>
        <v>36586</v>
      </c>
    </row>
    <row r="7" spans="1:3" ht="12.75" thickBot="1">
      <c r="A7" s="12" t="s">
        <v>14</v>
      </c>
      <c r="B7" s="13"/>
      <c r="C7" s="43"/>
    </row>
    <row r="8" spans="1:3" ht="12">
      <c r="A8" s="15" t="s">
        <v>15</v>
      </c>
      <c r="B8" s="15"/>
      <c r="C8" s="44"/>
    </row>
    <row r="9" spans="1:3" s="16" customFormat="1" ht="13.5" thickBot="1">
      <c r="A9" s="32" t="s">
        <v>16</v>
      </c>
      <c r="B9" s="33" t="s">
        <v>17</v>
      </c>
      <c r="C9" s="35">
        <v>5494106.72</v>
      </c>
    </row>
    <row r="10" spans="1:3" s="17" customFormat="1" ht="12.75" thickBot="1">
      <c r="A10" s="18" t="s">
        <v>18</v>
      </c>
      <c r="B10" s="18" t="s">
        <v>19</v>
      </c>
      <c r="C10" s="20">
        <v>13357906.54</v>
      </c>
    </row>
    <row r="11" spans="1:3" s="16" customFormat="1" ht="13.5" thickBot="1">
      <c r="A11" s="32" t="s">
        <v>20</v>
      </c>
      <c r="B11" s="33" t="s">
        <v>21</v>
      </c>
      <c r="C11" s="35">
        <v>-59548.4</v>
      </c>
    </row>
    <row r="12" spans="1:3" s="17" customFormat="1" ht="12.75" thickBot="1">
      <c r="A12" s="18" t="s">
        <v>22</v>
      </c>
      <c r="B12" s="18" t="s">
        <v>23</v>
      </c>
      <c r="C12" s="20">
        <v>-186091.94</v>
      </c>
    </row>
    <row r="13" spans="1:3" s="16" customFormat="1" ht="13.5" thickBot="1">
      <c r="A13" s="32" t="s">
        <v>24</v>
      </c>
      <c r="B13" s="33" t="s">
        <v>25</v>
      </c>
      <c r="C13" s="35">
        <v>911220.9</v>
      </c>
    </row>
    <row r="14" spans="1:3" s="17" customFormat="1" ht="12.75" thickBot="1">
      <c r="A14" s="18" t="s">
        <v>26</v>
      </c>
      <c r="B14" s="18" t="s">
        <v>27</v>
      </c>
      <c r="C14" s="20">
        <v>88220</v>
      </c>
    </row>
    <row r="15" spans="1:3" ht="12.75" thickBot="1">
      <c r="A15" s="45" t="s">
        <v>28</v>
      </c>
      <c r="B15" s="46" t="s">
        <v>15</v>
      </c>
      <c r="C15" s="47">
        <f>SUM(C8:Next.Up)</f>
        <v>19605813.819999997</v>
      </c>
    </row>
    <row r="16" spans="1:3" ht="12">
      <c r="A16" s="15" t="s">
        <v>29</v>
      </c>
      <c r="B16" s="15"/>
      <c r="C16" s="27"/>
    </row>
    <row r="17" spans="1:3" s="16" customFormat="1" ht="13.5" thickBot="1">
      <c r="A17" s="32" t="s">
        <v>30</v>
      </c>
      <c r="B17" s="33" t="s">
        <v>31</v>
      </c>
      <c r="C17" s="35">
        <v>-15842</v>
      </c>
    </row>
    <row r="18" spans="1:3" s="17" customFormat="1" ht="12.75" thickBot="1">
      <c r="A18" s="18" t="s">
        <v>32</v>
      </c>
      <c r="B18" s="18" t="s">
        <v>33</v>
      </c>
      <c r="C18" s="20">
        <v>-983292.04</v>
      </c>
    </row>
    <row r="19" spans="1:3" s="16" customFormat="1" ht="13.5" thickBot="1">
      <c r="A19" s="32" t="s">
        <v>34</v>
      </c>
      <c r="B19" s="33" t="s">
        <v>35</v>
      </c>
      <c r="C19" s="35">
        <v>20668</v>
      </c>
    </row>
    <row r="20" spans="1:3" ht="12.75" thickBot="1">
      <c r="A20" s="45" t="s">
        <v>28</v>
      </c>
      <c r="B20" s="46" t="s">
        <v>29</v>
      </c>
      <c r="C20" s="47">
        <f>SUM(C16:Next.Up)</f>
        <v>-978466.04</v>
      </c>
    </row>
    <row r="21" spans="1:3" ht="12.75" thickBot="1">
      <c r="A21" s="5" t="s">
        <v>36</v>
      </c>
      <c r="B21" s="31"/>
      <c r="C21" s="48">
        <f>SUM(C15,C20)</f>
        <v>18627347.779999997</v>
      </c>
    </row>
    <row r="22" spans="1:3" ht="12.75" thickBot="1">
      <c r="A22" s="12" t="s">
        <v>37</v>
      </c>
      <c r="B22" s="13"/>
      <c r="C22" s="49"/>
    </row>
    <row r="23" spans="1:3" ht="12">
      <c r="A23" s="15" t="s">
        <v>38</v>
      </c>
      <c r="B23" s="15"/>
      <c r="C23" s="27"/>
    </row>
    <row r="24" spans="1:3" s="16" customFormat="1" ht="13.5" thickBot="1">
      <c r="A24" s="32" t="s">
        <v>39</v>
      </c>
      <c r="B24" s="33" t="s">
        <v>40</v>
      </c>
      <c r="C24" s="35">
        <v>2492777.8</v>
      </c>
    </row>
    <row r="25" spans="1:3" s="17" customFormat="1" ht="12.75" thickBot="1">
      <c r="A25" s="18" t="s">
        <v>41</v>
      </c>
      <c r="B25" s="18" t="s">
        <v>42</v>
      </c>
      <c r="C25" s="20">
        <v>11063.08</v>
      </c>
    </row>
    <row r="26" spans="1:3" s="16" customFormat="1" ht="13.5" thickBot="1">
      <c r="A26" s="32" t="s">
        <v>43</v>
      </c>
      <c r="B26" s="33" t="s">
        <v>44</v>
      </c>
      <c r="C26" s="35">
        <v>545792.64</v>
      </c>
    </row>
    <row r="27" spans="1:3" ht="12.75" thickBot="1">
      <c r="A27" s="45" t="s">
        <v>28</v>
      </c>
      <c r="B27" s="46" t="s">
        <v>38</v>
      </c>
      <c r="C27" s="47">
        <f>SUM(C23:Next.Up)</f>
        <v>3049633.52</v>
      </c>
    </row>
    <row r="28" spans="1:3" ht="12">
      <c r="A28" s="15" t="s">
        <v>45</v>
      </c>
      <c r="B28" s="15"/>
      <c r="C28" s="27"/>
    </row>
    <row r="29" spans="1:3" s="16" customFormat="1" ht="13.5" thickBot="1">
      <c r="A29" s="32" t="s">
        <v>46</v>
      </c>
      <c r="B29" s="33" t="s">
        <v>47</v>
      </c>
      <c r="C29" s="35">
        <v>16466</v>
      </c>
    </row>
    <row r="30" spans="1:3" s="17" customFormat="1" ht="12.75" thickBot="1">
      <c r="A30" s="18" t="s">
        <v>48</v>
      </c>
      <c r="B30" s="18" t="s">
        <v>49</v>
      </c>
      <c r="C30" s="20">
        <v>15056.48</v>
      </c>
    </row>
    <row r="31" spans="1:3" ht="12.75" thickBot="1">
      <c r="A31" s="45" t="s">
        <v>28</v>
      </c>
      <c r="B31" s="46" t="s">
        <v>45</v>
      </c>
      <c r="C31" s="47">
        <f>SUM(C28:Next.Up)</f>
        <v>31522.48</v>
      </c>
    </row>
    <row r="32" spans="1:3" ht="12.75" thickBot="1">
      <c r="A32" s="24" t="s">
        <v>50</v>
      </c>
      <c r="B32" s="25"/>
      <c r="C32" s="30">
        <f>SUM(C27,C31)</f>
        <v>3081156</v>
      </c>
    </row>
    <row r="33" spans="1:3" ht="12">
      <c r="A33" s="15" t="s">
        <v>51</v>
      </c>
      <c r="B33" s="15"/>
      <c r="C33" s="27"/>
    </row>
    <row r="34" spans="1:3" s="16" customFormat="1" ht="13.5" thickBot="1">
      <c r="A34" s="32" t="s">
        <v>52</v>
      </c>
      <c r="B34" s="33" t="s">
        <v>53</v>
      </c>
      <c r="C34" s="35">
        <v>9952</v>
      </c>
    </row>
    <row r="35" spans="1:3" s="17" customFormat="1" ht="12.75" thickBot="1">
      <c r="A35" s="18" t="s">
        <v>54</v>
      </c>
      <c r="B35" s="18" t="s">
        <v>55</v>
      </c>
      <c r="C35" s="20">
        <v>11652179.84</v>
      </c>
    </row>
    <row r="36" spans="1:3" s="16" customFormat="1" ht="13.5" thickBot="1">
      <c r="A36" s="32" t="s">
        <v>100</v>
      </c>
      <c r="B36" s="33" t="s">
        <v>101</v>
      </c>
      <c r="C36" s="35">
        <v>3884059.94</v>
      </c>
    </row>
    <row r="37" spans="1:3" ht="12.75" thickBot="1">
      <c r="A37" s="45" t="s">
        <v>28</v>
      </c>
      <c r="B37" s="46" t="s">
        <v>51</v>
      </c>
      <c r="C37" s="47">
        <f>SUM(C33:Next.Up)</f>
        <v>15546191.78</v>
      </c>
    </row>
    <row r="38" spans="1:3" ht="12">
      <c r="A38" s="5" t="s">
        <v>99</v>
      </c>
      <c r="B38" s="31"/>
      <c r="C38" s="48">
        <f>C32+C37</f>
        <v>18627347.78</v>
      </c>
    </row>
    <row r="40" ht="12">
      <c r="A40" s="3" t="s">
        <v>312</v>
      </c>
    </row>
  </sheetData>
  <sheetProtection/>
  <printOptions/>
  <pageMargins left="0.37" right="0.25" top="0.72" bottom="1" header="0.5" footer="0.5"/>
  <pageSetup horizontalDpi="300" verticalDpi="300" orientation="portrait" r:id="rId2"/>
  <headerFooter alignWithMargins="0">
    <oddFooter>&amp;C© Copyright, 2003, JaxWorks, All Rights Reserved.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8515625" style="3" customWidth="1"/>
    <col min="2" max="2" width="32.421875" style="2" customWidth="1"/>
    <col min="3" max="4" width="9.7109375" style="2" customWidth="1"/>
    <col min="5" max="5" width="8.421875" style="2" customWidth="1"/>
    <col min="6" max="16384" width="9.140625" style="2" customWidth="1"/>
  </cols>
  <sheetData>
    <row r="1" spans="1:5" ht="23.25" customHeight="1">
      <c r="A1" s="38"/>
      <c r="B1" s="4"/>
      <c r="C1" s="4"/>
      <c r="D1" s="4"/>
      <c r="E1" s="4"/>
    </row>
    <row r="2" spans="1:5" ht="23.25" customHeight="1">
      <c r="A2" s="38"/>
      <c r="B2" s="4"/>
      <c r="C2" s="4"/>
      <c r="D2" s="4"/>
      <c r="E2" s="4"/>
    </row>
    <row r="3" spans="1:5" ht="12">
      <c r="A3" s="38"/>
      <c r="B3" s="4"/>
      <c r="C3" s="4"/>
      <c r="D3" s="4"/>
      <c r="E3" s="4"/>
    </row>
    <row r="4" spans="1:5" ht="12">
      <c r="A4" s="5" t="s">
        <v>0</v>
      </c>
      <c r="B4" s="6">
        <v>36586</v>
      </c>
      <c r="C4" s="4"/>
      <c r="D4" s="4"/>
      <c r="E4" s="4"/>
    </row>
    <row r="5" spans="1:5" s="40" customFormat="1" ht="8.25" customHeight="1">
      <c r="A5" s="50"/>
      <c r="B5" s="51"/>
      <c r="C5" s="50"/>
      <c r="D5" s="50"/>
      <c r="E5" s="50"/>
    </row>
    <row r="6" spans="1:5" ht="12.75" thickBot="1">
      <c r="A6" s="41" t="s">
        <v>3</v>
      </c>
      <c r="B6" s="41" t="s">
        <v>4</v>
      </c>
      <c r="C6" s="42">
        <f>DATE(YEAR(Report.Date)-1,MONTH(Report.Date),1)</f>
        <v>36220</v>
      </c>
      <c r="D6" s="42">
        <f>Report.Date</f>
        <v>36586</v>
      </c>
      <c r="E6" s="41" t="s">
        <v>102</v>
      </c>
    </row>
    <row r="7" spans="1:5" ht="12.75" thickBot="1">
      <c r="A7" s="12" t="s">
        <v>14</v>
      </c>
      <c r="B7" s="13"/>
      <c r="C7" s="14"/>
      <c r="D7" s="14"/>
      <c r="E7" s="14"/>
    </row>
    <row r="8" spans="1:5" ht="12">
      <c r="A8" s="15" t="s">
        <v>15</v>
      </c>
      <c r="B8" s="15"/>
      <c r="E8" s="52"/>
    </row>
    <row r="9" spans="1:5" s="16" customFormat="1" ht="13.5" thickBot="1">
      <c r="A9" s="32" t="s">
        <v>16</v>
      </c>
      <c r="B9" s="33" t="s">
        <v>17</v>
      </c>
      <c r="C9" s="35">
        <v>3862507.79</v>
      </c>
      <c r="D9" s="35">
        <v>5494106.72</v>
      </c>
      <c r="E9" s="34">
        <f aca="true" t="shared" si="0" ref="E9:E14">D9-C9</f>
        <v>1631598.9299999997</v>
      </c>
    </row>
    <row r="10" spans="1:5" s="17" customFormat="1" ht="12.75" thickBot="1">
      <c r="A10" s="18" t="s">
        <v>18</v>
      </c>
      <c r="B10" s="18" t="s">
        <v>19</v>
      </c>
      <c r="C10" s="20">
        <v>10290144.54</v>
      </c>
      <c r="D10" s="20">
        <v>13357906.54</v>
      </c>
      <c r="E10" s="19">
        <f t="shared" si="0"/>
        <v>3067762</v>
      </c>
    </row>
    <row r="11" spans="1:5" s="16" customFormat="1" ht="13.5" thickBot="1">
      <c r="A11" s="32" t="s">
        <v>20</v>
      </c>
      <c r="B11" s="33" t="s">
        <v>21</v>
      </c>
      <c r="C11" s="35">
        <v>-44610.6</v>
      </c>
      <c r="D11" s="35">
        <v>-59548.4</v>
      </c>
      <c r="E11" s="34">
        <f t="shared" si="0"/>
        <v>-14937.800000000003</v>
      </c>
    </row>
    <row r="12" spans="1:5" s="17" customFormat="1" ht="12.75" thickBot="1">
      <c r="A12" s="18" t="s">
        <v>22</v>
      </c>
      <c r="B12" s="18" t="s">
        <v>23</v>
      </c>
      <c r="C12" s="20">
        <v>-139568.94</v>
      </c>
      <c r="D12" s="20">
        <v>-186091.94</v>
      </c>
      <c r="E12" s="19">
        <f t="shared" si="0"/>
        <v>-46523</v>
      </c>
    </row>
    <row r="13" spans="1:5" s="16" customFormat="1" ht="13.5" thickBot="1">
      <c r="A13" s="32" t="s">
        <v>24</v>
      </c>
      <c r="B13" s="33" t="s">
        <v>25</v>
      </c>
      <c r="C13" s="35">
        <v>702699.34</v>
      </c>
      <c r="D13" s="35">
        <v>911220.9</v>
      </c>
      <c r="E13" s="34">
        <f t="shared" si="0"/>
        <v>208521.56000000006</v>
      </c>
    </row>
    <row r="14" spans="1:5" s="17" customFormat="1" ht="12.75" thickBot="1">
      <c r="A14" s="18" t="s">
        <v>26</v>
      </c>
      <c r="B14" s="18" t="s">
        <v>27</v>
      </c>
      <c r="C14" s="20">
        <v>65395</v>
      </c>
      <c r="D14" s="20">
        <v>88220</v>
      </c>
      <c r="E14" s="19">
        <f t="shared" si="0"/>
        <v>22825</v>
      </c>
    </row>
    <row r="15" spans="1:5" s="53" customFormat="1" ht="12.75" thickBot="1">
      <c r="A15" s="32" t="s">
        <v>28</v>
      </c>
      <c r="B15" s="33" t="s">
        <v>15</v>
      </c>
      <c r="C15" s="35">
        <f>SUM(C8:Next.Up)</f>
        <v>14736567.129999999</v>
      </c>
      <c r="D15" s="35">
        <f>SUM(D8:Next.Up)</f>
        <v>19605813.819999997</v>
      </c>
      <c r="E15" s="34">
        <f>SUM(E8:Next.Up)</f>
        <v>4869246.6899999995</v>
      </c>
    </row>
    <row r="16" spans="1:5" ht="12">
      <c r="A16" s="15" t="s">
        <v>29</v>
      </c>
      <c r="B16" s="15"/>
      <c r="C16" s="54"/>
      <c r="D16" s="54"/>
      <c r="E16" s="55"/>
    </row>
    <row r="17" spans="1:5" s="16" customFormat="1" ht="13.5" thickBot="1">
      <c r="A17" s="32" t="s">
        <v>30</v>
      </c>
      <c r="B17" s="33" t="s">
        <v>31</v>
      </c>
      <c r="C17" s="35">
        <v>-11815</v>
      </c>
      <c r="D17" s="35">
        <v>-15842</v>
      </c>
      <c r="E17" s="34">
        <f>D17-C17</f>
        <v>-4027</v>
      </c>
    </row>
    <row r="18" spans="1:5" s="17" customFormat="1" ht="12.75" thickBot="1">
      <c r="A18" s="32" t="s">
        <v>32</v>
      </c>
      <c r="B18" s="33" t="s">
        <v>33</v>
      </c>
      <c r="C18" s="35">
        <v>-737469.04</v>
      </c>
      <c r="D18" s="35">
        <v>-983292.04</v>
      </c>
      <c r="E18" s="34">
        <f>D18-C18</f>
        <v>-245823</v>
      </c>
    </row>
    <row r="19" spans="1:5" s="16" customFormat="1" ht="13.5" thickBot="1">
      <c r="A19" s="32" t="s">
        <v>34</v>
      </c>
      <c r="B19" s="33" t="s">
        <v>35</v>
      </c>
      <c r="C19" s="35">
        <v>15542</v>
      </c>
      <c r="D19" s="35">
        <v>20668</v>
      </c>
      <c r="E19" s="34">
        <f>D19-C19</f>
        <v>5126</v>
      </c>
    </row>
    <row r="20" spans="1:5" s="53" customFormat="1" ht="12.75" thickBot="1">
      <c r="A20" s="32" t="s">
        <v>28</v>
      </c>
      <c r="B20" s="33" t="s">
        <v>29</v>
      </c>
      <c r="C20" s="35">
        <f>SUM(C16:Next.Up)</f>
        <v>-733742.04</v>
      </c>
      <c r="D20" s="35">
        <f>SUM(D16:Next.Up)</f>
        <v>-978466.04</v>
      </c>
      <c r="E20" s="34">
        <f>SUM(E16:Next.Up)</f>
        <v>-244724</v>
      </c>
    </row>
    <row r="21" spans="1:5" ht="12.75" thickBot="1">
      <c r="A21" s="5" t="s">
        <v>36</v>
      </c>
      <c r="B21" s="31"/>
      <c r="C21" s="48">
        <f>SUM(C15,C20)</f>
        <v>14002825.09</v>
      </c>
      <c r="D21" s="48">
        <f>SUM(D15,D20)</f>
        <v>18627347.779999997</v>
      </c>
      <c r="E21" s="48">
        <f>SUM(E15,E20)</f>
        <v>4624522.6899999995</v>
      </c>
    </row>
    <row r="22" spans="1:5" ht="12.75" thickBot="1">
      <c r="A22" s="12" t="s">
        <v>37</v>
      </c>
      <c r="B22" s="13"/>
      <c r="C22" s="49"/>
      <c r="D22" s="49"/>
      <c r="E22" s="49"/>
    </row>
    <row r="23" spans="1:5" ht="12">
      <c r="A23" s="15" t="s">
        <v>38</v>
      </c>
      <c r="B23" s="15"/>
      <c r="C23" s="54"/>
      <c r="D23" s="54"/>
      <c r="E23" s="55"/>
    </row>
    <row r="24" spans="1:5" s="16" customFormat="1" ht="13.5" thickBot="1">
      <c r="A24" s="32" t="s">
        <v>39</v>
      </c>
      <c r="B24" s="33" t="s">
        <v>40</v>
      </c>
      <c r="C24" s="35">
        <v>1897695.25</v>
      </c>
      <c r="D24" s="35">
        <v>2492777.8</v>
      </c>
      <c r="E24" s="34">
        <f>D24-C24</f>
        <v>595082.5499999998</v>
      </c>
    </row>
    <row r="25" spans="1:5" s="17" customFormat="1" ht="12.75" thickBot="1">
      <c r="A25" s="18" t="s">
        <v>41</v>
      </c>
      <c r="B25" s="18" t="s">
        <v>42</v>
      </c>
      <c r="C25" s="20">
        <v>16555.08</v>
      </c>
      <c r="D25" s="20">
        <v>11063.08</v>
      </c>
      <c r="E25" s="19">
        <f>D25-C25</f>
        <v>-5492.000000000002</v>
      </c>
    </row>
    <row r="26" spans="1:5" s="16" customFormat="1" ht="13.5" thickBot="1">
      <c r="A26" s="32" t="s">
        <v>43</v>
      </c>
      <c r="B26" s="33" t="s">
        <v>44</v>
      </c>
      <c r="C26" s="35">
        <v>404090.44</v>
      </c>
      <c r="D26" s="35">
        <v>545792.64</v>
      </c>
      <c r="E26" s="34">
        <f>D26-C26</f>
        <v>141702.2</v>
      </c>
    </row>
    <row r="27" spans="1:5" s="53" customFormat="1" ht="12.75" thickBot="1">
      <c r="A27" s="32" t="s">
        <v>28</v>
      </c>
      <c r="B27" s="33" t="s">
        <v>38</v>
      </c>
      <c r="C27" s="35">
        <f>SUM(C23:Next.Up)</f>
        <v>2318340.77</v>
      </c>
      <c r="D27" s="35">
        <f>SUM(D23:Next.Up)</f>
        <v>3049633.52</v>
      </c>
      <c r="E27" s="34">
        <f>SUM(E23:Next.Up)</f>
        <v>731292.7499999998</v>
      </c>
    </row>
    <row r="28" spans="1:5" ht="12">
      <c r="A28" s="15" t="s">
        <v>45</v>
      </c>
      <c r="B28" s="15"/>
      <c r="C28" s="54"/>
      <c r="D28" s="54"/>
      <c r="E28" s="55"/>
    </row>
    <row r="29" spans="1:5" s="16" customFormat="1" ht="13.5" thickBot="1">
      <c r="A29" s="32" t="s">
        <v>46</v>
      </c>
      <c r="B29" s="33" t="s">
        <v>47</v>
      </c>
      <c r="C29" s="35">
        <v>12303</v>
      </c>
      <c r="D29" s="35">
        <v>16466</v>
      </c>
      <c r="E29" s="34">
        <f>D29-C29</f>
        <v>4163</v>
      </c>
    </row>
    <row r="30" spans="1:5" s="17" customFormat="1" ht="12.75" thickBot="1">
      <c r="A30" s="18" t="s">
        <v>48</v>
      </c>
      <c r="B30" s="18" t="s">
        <v>49</v>
      </c>
      <c r="C30" s="20">
        <v>12550.48</v>
      </c>
      <c r="D30" s="20">
        <v>15056.48</v>
      </c>
      <c r="E30" s="19">
        <f>D30-C30</f>
        <v>2506</v>
      </c>
    </row>
    <row r="31" spans="1:5" s="53" customFormat="1" ht="12.75" thickBot="1">
      <c r="A31" s="32" t="s">
        <v>28</v>
      </c>
      <c r="B31" s="33" t="s">
        <v>45</v>
      </c>
      <c r="C31" s="35">
        <f>SUM(C28:Next.Up)</f>
        <v>24853.48</v>
      </c>
      <c r="D31" s="35">
        <f>SUM(D28:Next.Up)</f>
        <v>31522.48</v>
      </c>
      <c r="E31" s="34">
        <f>SUM(E28:Next.Up)</f>
        <v>6669</v>
      </c>
    </row>
    <row r="32" spans="1:5" ht="12.75" thickBot="1">
      <c r="A32" s="24" t="s">
        <v>50</v>
      </c>
      <c r="B32" s="25"/>
      <c r="C32" s="56">
        <f>SUM(C27,C31)</f>
        <v>2343194.25</v>
      </c>
      <c r="D32" s="56">
        <f>SUM(D27,D31)</f>
        <v>3081156</v>
      </c>
      <c r="E32" s="30">
        <f>SUM(E27,E31)</f>
        <v>737961.7499999998</v>
      </c>
    </row>
    <row r="33" spans="1:5" ht="12">
      <c r="A33" s="15" t="s">
        <v>51</v>
      </c>
      <c r="B33" s="15"/>
      <c r="C33" s="54"/>
      <c r="D33" s="54"/>
      <c r="E33" s="55"/>
    </row>
    <row r="34" spans="1:5" s="16" customFormat="1" ht="13.5" thickBot="1">
      <c r="A34" s="32" t="s">
        <v>52</v>
      </c>
      <c r="B34" s="33" t="s">
        <v>53</v>
      </c>
      <c r="C34" s="35">
        <v>7451</v>
      </c>
      <c r="D34" s="35">
        <v>9952</v>
      </c>
      <c r="E34" s="34">
        <f>D34-C34</f>
        <v>2501</v>
      </c>
    </row>
    <row r="35" spans="1:5" s="17" customFormat="1" ht="12.75" thickBot="1">
      <c r="A35" s="18" t="s">
        <v>54</v>
      </c>
      <c r="B35" s="18" t="s">
        <v>55</v>
      </c>
      <c r="C35" s="20">
        <v>7768119.89</v>
      </c>
      <c r="D35" s="20">
        <v>11652179.84</v>
      </c>
      <c r="E35" s="19">
        <f>D35-C35</f>
        <v>3884059.95</v>
      </c>
    </row>
    <row r="36" spans="1:5" s="16" customFormat="1" ht="13.5" thickBot="1">
      <c r="A36" s="32" t="s">
        <v>100</v>
      </c>
      <c r="B36" s="33" t="s">
        <v>101</v>
      </c>
      <c r="C36" s="35">
        <v>3884059.95</v>
      </c>
      <c r="D36" s="35">
        <v>3884059.94</v>
      </c>
      <c r="E36" s="34">
        <f>D36-C36</f>
        <v>-0.01000000024214387</v>
      </c>
    </row>
    <row r="37" spans="1:5" s="53" customFormat="1" ht="12.75" thickBot="1">
      <c r="A37" s="32" t="s">
        <v>28</v>
      </c>
      <c r="B37" s="33" t="s">
        <v>51</v>
      </c>
      <c r="C37" s="35">
        <f>SUM(C33:Next.Up)</f>
        <v>11659630.84</v>
      </c>
      <c r="D37" s="35">
        <f>SUM(D33:Next.Up)</f>
        <v>15546191.78</v>
      </c>
      <c r="E37" s="34">
        <f>SUM(E33:Next.Up)</f>
        <v>3886560.94</v>
      </c>
    </row>
    <row r="38" spans="1:5" ht="12">
      <c r="A38" s="5" t="s">
        <v>99</v>
      </c>
      <c r="B38" s="31"/>
      <c r="C38" s="48">
        <f>C32+C37</f>
        <v>14002825.09</v>
      </c>
      <c r="D38" s="48">
        <f>D32+D37</f>
        <v>18627347.78</v>
      </c>
      <c r="E38" s="48">
        <f>E32+E37</f>
        <v>4624522.6899999995</v>
      </c>
    </row>
    <row r="40" ht="12">
      <c r="A40" s="3" t="s">
        <v>312</v>
      </c>
    </row>
  </sheetData>
  <sheetProtection/>
  <printOptions/>
  <pageMargins left="0.37" right="0.25" top="0.72" bottom="1" header="0.5" footer="0.5"/>
  <pageSetup horizontalDpi="300" verticalDpi="300" orientation="portrait" r:id="rId2"/>
  <headerFooter alignWithMargins="0">
    <oddFooter>&amp;C© Copyright, 2003, JaxWorks, All Rights Reserved.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421875" style="73" bestFit="1" customWidth="1"/>
    <col min="2" max="2" width="31.140625" style="16" bestFit="1" customWidth="1"/>
    <col min="3" max="3" width="16.7109375" style="58" bestFit="1" customWidth="1"/>
    <col min="4" max="4" width="19.57421875" style="58" bestFit="1" customWidth="1"/>
    <col min="5" max="5" width="15.00390625" style="58" bestFit="1" customWidth="1"/>
    <col min="6" max="7" width="17.28125" style="58" bestFit="1" customWidth="1"/>
    <col min="8" max="8" width="15.00390625" style="58" bestFit="1" customWidth="1"/>
    <col min="9" max="16384" width="9.140625" style="16" customWidth="1"/>
  </cols>
  <sheetData>
    <row r="1" ht="12.75"/>
    <row r="2" ht="12.75"/>
    <row r="3" ht="12.75"/>
    <row r="4" spans="1:2" ht="12.75">
      <c r="A4" s="57" t="s">
        <v>0</v>
      </c>
      <c r="B4" s="6">
        <f ca="1">NOW()</f>
        <v>41320.628852662034</v>
      </c>
    </row>
    <row r="6" spans="1:8" ht="22.5">
      <c r="A6" s="59" t="s">
        <v>3</v>
      </c>
      <c r="B6" s="60" t="s">
        <v>4</v>
      </c>
      <c r="C6" s="61">
        <v>36586</v>
      </c>
      <c r="D6" s="61">
        <v>36557</v>
      </c>
      <c r="E6" s="62" t="s">
        <v>103</v>
      </c>
      <c r="F6" s="62" t="s">
        <v>104</v>
      </c>
      <c r="G6" s="62" t="s">
        <v>105</v>
      </c>
      <c r="H6" s="62" t="s">
        <v>106</v>
      </c>
    </row>
    <row r="8" spans="1:2" ht="12.75">
      <c r="A8" s="15" t="s">
        <v>107</v>
      </c>
      <c r="B8" s="15"/>
    </row>
    <row r="9" spans="1:8" ht="12.75">
      <c r="A9" s="63" t="s">
        <v>108</v>
      </c>
      <c r="B9" s="64" t="s">
        <v>101</v>
      </c>
      <c r="C9" s="65">
        <v>365101.65</v>
      </c>
      <c r="D9" s="65">
        <v>361217.63</v>
      </c>
      <c r="E9" s="65">
        <f aca="true" t="shared" si="0" ref="E9:E17">IF(OR(C9="",D9=""),"",C9-D9)</f>
        <v>3884.0200000000186</v>
      </c>
      <c r="F9" s="65">
        <v>3884059.94</v>
      </c>
      <c r="G9" s="65">
        <v>3884059.95</v>
      </c>
      <c r="H9" s="65">
        <f aca="true" t="shared" si="1" ref="H9:H17">IF(OR(F9="",G9=""),"",F9-G9)</f>
        <v>-0.01000000024214387</v>
      </c>
    </row>
    <row r="10" spans="1:8" ht="12.75">
      <c r="A10" s="66" t="s">
        <v>18</v>
      </c>
      <c r="B10" s="67" t="s">
        <v>109</v>
      </c>
      <c r="C10" s="68">
        <v>202826.28</v>
      </c>
      <c r="D10" s="68">
        <v>-299201.25</v>
      </c>
      <c r="E10" s="68">
        <f t="shared" si="0"/>
        <v>502027.53</v>
      </c>
      <c r="F10" s="68">
        <v>-3067762</v>
      </c>
      <c r="G10" s="68">
        <v>-3611191.27</v>
      </c>
      <c r="H10" s="68">
        <f t="shared" si="1"/>
        <v>543429.27</v>
      </c>
    </row>
    <row r="11" spans="1:8" ht="12.75">
      <c r="A11" s="63" t="s">
        <v>20</v>
      </c>
      <c r="B11" s="64" t="s">
        <v>110</v>
      </c>
      <c r="C11" s="65">
        <v>1309.55</v>
      </c>
      <c r="D11" s="65">
        <v>1178.76</v>
      </c>
      <c r="E11" s="65">
        <f t="shared" si="0"/>
        <v>130.78999999999996</v>
      </c>
      <c r="F11" s="65">
        <v>14937.8</v>
      </c>
      <c r="G11" s="65">
        <v>14836.4</v>
      </c>
      <c r="H11" s="65">
        <f t="shared" si="1"/>
        <v>101.39999999999964</v>
      </c>
    </row>
    <row r="12" spans="1:8" ht="12.75">
      <c r="A12" s="66" t="s">
        <v>22</v>
      </c>
      <c r="B12" s="67" t="s">
        <v>111</v>
      </c>
      <c r="C12" s="68">
        <v>4373.16</v>
      </c>
      <c r="D12" s="68">
        <v>4326.64</v>
      </c>
      <c r="E12" s="68">
        <f t="shared" si="0"/>
        <v>46.51999999999953</v>
      </c>
      <c r="F12" s="68">
        <v>46523</v>
      </c>
      <c r="G12" s="68">
        <v>46522.97</v>
      </c>
      <c r="H12" s="68">
        <f t="shared" si="1"/>
        <v>0.029999999998835847</v>
      </c>
    </row>
    <row r="13" spans="1:8" ht="12.75">
      <c r="A13" s="63" t="s">
        <v>24</v>
      </c>
      <c r="B13" s="64" t="s">
        <v>112</v>
      </c>
      <c r="C13" s="65">
        <v>-5385.8</v>
      </c>
      <c r="D13" s="65">
        <v>-10027.47</v>
      </c>
      <c r="E13" s="65">
        <f t="shared" si="0"/>
        <v>4641.669999999999</v>
      </c>
      <c r="F13" s="65">
        <v>-208521.56</v>
      </c>
      <c r="G13" s="65">
        <v>-247088.89</v>
      </c>
      <c r="H13" s="65">
        <f t="shared" si="1"/>
        <v>38567.330000000016</v>
      </c>
    </row>
    <row r="14" spans="1:8" ht="12.75">
      <c r="A14" s="66" t="s">
        <v>26</v>
      </c>
      <c r="B14" s="67" t="s">
        <v>113</v>
      </c>
      <c r="C14" s="68">
        <v>-1804</v>
      </c>
      <c r="D14" s="68">
        <v>-2035</v>
      </c>
      <c r="E14" s="68">
        <f t="shared" si="0"/>
        <v>231</v>
      </c>
      <c r="F14" s="68">
        <v>-22825</v>
      </c>
      <c r="G14" s="68">
        <v>-21285</v>
      </c>
      <c r="H14" s="68">
        <f t="shared" si="1"/>
        <v>-1540</v>
      </c>
    </row>
    <row r="15" spans="1:8" ht="12.75">
      <c r="A15" s="63" t="s">
        <v>39</v>
      </c>
      <c r="B15" s="64" t="s">
        <v>114</v>
      </c>
      <c r="C15" s="65">
        <v>40428.05</v>
      </c>
      <c r="D15" s="65">
        <v>40086.45</v>
      </c>
      <c r="E15" s="65">
        <f t="shared" si="0"/>
        <v>341.6000000000058</v>
      </c>
      <c r="F15" s="65">
        <v>595082.55</v>
      </c>
      <c r="G15" s="65">
        <v>651306.35</v>
      </c>
      <c r="H15" s="65">
        <f t="shared" si="1"/>
        <v>-56223.79999999993</v>
      </c>
    </row>
    <row r="16" spans="1:8" ht="12.75">
      <c r="A16" s="66" t="s">
        <v>41</v>
      </c>
      <c r="B16" s="67" t="s">
        <v>115</v>
      </c>
      <c r="C16" s="68">
        <v>-491</v>
      </c>
      <c r="D16" s="68">
        <v>-406</v>
      </c>
      <c r="E16" s="68">
        <f t="shared" si="0"/>
        <v>-85</v>
      </c>
      <c r="F16" s="68">
        <v>-5492</v>
      </c>
      <c r="G16" s="68">
        <v>11023.54</v>
      </c>
      <c r="H16" s="68">
        <f t="shared" si="1"/>
        <v>-16515.54</v>
      </c>
    </row>
    <row r="17" spans="1:8" ht="12.75">
      <c r="A17" s="63" t="s">
        <v>43</v>
      </c>
      <c r="B17" s="64" t="s">
        <v>116</v>
      </c>
      <c r="C17" s="65">
        <v>12819</v>
      </c>
      <c r="D17" s="65">
        <v>12146</v>
      </c>
      <c r="E17" s="65">
        <f t="shared" si="0"/>
        <v>673</v>
      </c>
      <c r="F17" s="65">
        <v>141702.2</v>
      </c>
      <c r="G17" s="65">
        <v>131194.12</v>
      </c>
      <c r="H17" s="65">
        <f t="shared" si="1"/>
        <v>10508.080000000016</v>
      </c>
    </row>
    <row r="18" spans="1:8" ht="12.75">
      <c r="A18" s="69" t="s">
        <v>117</v>
      </c>
      <c r="B18" s="69" t="s">
        <v>107</v>
      </c>
      <c r="C18" s="70">
        <f aca="true" t="shared" si="2" ref="C18:H18">SUM(C8:C17)</f>
        <v>619176.8900000001</v>
      </c>
      <c r="D18" s="70">
        <f t="shared" si="2"/>
        <v>107285.76000000001</v>
      </c>
      <c r="E18" s="70">
        <f t="shared" si="2"/>
        <v>511891.13</v>
      </c>
      <c r="F18" s="70">
        <f t="shared" si="2"/>
        <v>1377704.93</v>
      </c>
      <c r="G18" s="70">
        <f t="shared" si="2"/>
        <v>859378.1700000002</v>
      </c>
      <c r="H18" s="70">
        <f t="shared" si="2"/>
        <v>518326.7599999999</v>
      </c>
    </row>
    <row r="19" ht="1.5" customHeight="1">
      <c r="A19" s="71"/>
    </row>
    <row r="20" spans="1:2" ht="12.75">
      <c r="A20" s="15" t="s">
        <v>118</v>
      </c>
      <c r="B20" s="15"/>
    </row>
    <row r="21" spans="1:8" ht="12.75">
      <c r="A21" s="63" t="s">
        <v>34</v>
      </c>
      <c r="B21" s="64" t="s">
        <v>119</v>
      </c>
      <c r="C21" s="65">
        <v>-398</v>
      </c>
      <c r="D21" s="65">
        <v>-420</v>
      </c>
      <c r="E21" s="65">
        <f>IF(OR(C21="",D21=""),"",C21-D21)</f>
        <v>22</v>
      </c>
      <c r="F21" s="65">
        <v>-5126</v>
      </c>
      <c r="G21" s="65">
        <v>-5208</v>
      </c>
      <c r="H21" s="65">
        <f>IF(OR(F21="",G21=""),"",F21-G21)</f>
        <v>82</v>
      </c>
    </row>
    <row r="22" spans="1:8" ht="12.75">
      <c r="A22" s="66" t="s">
        <v>30</v>
      </c>
      <c r="B22" s="67" t="s">
        <v>120</v>
      </c>
      <c r="C22" s="68">
        <v>354</v>
      </c>
      <c r="D22" s="68">
        <v>346</v>
      </c>
      <c r="E22" s="68">
        <f>IF(OR(C22="",D22=""),"",C22-D22)</f>
        <v>8</v>
      </c>
      <c r="F22" s="68">
        <v>4027</v>
      </c>
      <c r="G22" s="68">
        <v>3894</v>
      </c>
      <c r="H22" s="68">
        <f>IF(OR(F22="",G22=""),"",F22-G22)</f>
        <v>133</v>
      </c>
    </row>
    <row r="23" spans="1:8" ht="12.75">
      <c r="A23" s="63" t="s">
        <v>32</v>
      </c>
      <c r="B23" s="64" t="s">
        <v>121</v>
      </c>
      <c r="C23" s="65">
        <v>23107.36</v>
      </c>
      <c r="D23" s="65">
        <v>22861.52</v>
      </c>
      <c r="E23" s="65">
        <f>IF(OR(C23="",D23=""),"",C23-D23)</f>
        <v>245.84000000000015</v>
      </c>
      <c r="F23" s="65">
        <v>245823</v>
      </c>
      <c r="G23" s="65">
        <v>245823.02</v>
      </c>
      <c r="H23" s="65">
        <f>IF(OR(F23="",G23=""),"",F23-G23)</f>
        <v>-0.01999999998952262</v>
      </c>
    </row>
    <row r="24" spans="1:8" ht="12.75">
      <c r="A24" s="69" t="s">
        <v>117</v>
      </c>
      <c r="B24" s="69" t="s">
        <v>118</v>
      </c>
      <c r="C24" s="70">
        <f aca="true" t="shared" si="3" ref="C24:H24">SUM(C20:C23)</f>
        <v>23063.36</v>
      </c>
      <c r="D24" s="70">
        <f t="shared" si="3"/>
        <v>22787.52</v>
      </c>
      <c r="E24" s="70">
        <f t="shared" si="3"/>
        <v>275.84000000000015</v>
      </c>
      <c r="F24" s="70">
        <f t="shared" si="3"/>
        <v>244724</v>
      </c>
      <c r="G24" s="70">
        <f t="shared" si="3"/>
        <v>244509.02</v>
      </c>
      <c r="H24" s="70">
        <f t="shared" si="3"/>
        <v>214.98000000001048</v>
      </c>
    </row>
    <row r="25" ht="1.5" customHeight="1">
      <c r="A25" s="71"/>
    </row>
    <row r="26" spans="1:2" ht="12.75">
      <c r="A26" s="15" t="s">
        <v>122</v>
      </c>
      <c r="B26" s="15"/>
    </row>
    <row r="27" spans="1:8" ht="12.75">
      <c r="A27" s="63" t="s">
        <v>46</v>
      </c>
      <c r="B27" s="64" t="s">
        <v>123</v>
      </c>
      <c r="C27" s="65">
        <v>279</v>
      </c>
      <c r="D27" s="65">
        <v>318</v>
      </c>
      <c r="E27" s="65">
        <f>IF(OR(C27="",D27=""),"",C27-D27)</f>
        <v>-39</v>
      </c>
      <c r="F27" s="65">
        <v>4163</v>
      </c>
      <c r="G27" s="65">
        <v>4070</v>
      </c>
      <c r="H27" s="65">
        <f>IF(OR(F27="",G27=""),"",F27-G27)</f>
        <v>93</v>
      </c>
    </row>
    <row r="28" spans="1:8" ht="12.75">
      <c r="A28" s="66" t="s">
        <v>48</v>
      </c>
      <c r="B28" s="67" t="s">
        <v>124</v>
      </c>
      <c r="C28" s="68">
        <v>261</v>
      </c>
      <c r="D28" s="68">
        <v>189</v>
      </c>
      <c r="E28" s="68">
        <f>IF(OR(C28="",D28=""),"",C28-D28)</f>
        <v>72</v>
      </c>
      <c r="F28" s="68">
        <v>2506</v>
      </c>
      <c r="G28" s="68">
        <v>5022.24</v>
      </c>
      <c r="H28" s="68">
        <f>IF(OR(F28="",G28=""),"",F28-G28)</f>
        <v>-2516.24</v>
      </c>
    </row>
    <row r="29" spans="1:8" ht="12.75">
      <c r="A29" s="63" t="s">
        <v>52</v>
      </c>
      <c r="B29" s="64" t="s">
        <v>125</v>
      </c>
      <c r="C29" s="65">
        <v>211</v>
      </c>
      <c r="D29" s="65">
        <v>203</v>
      </c>
      <c r="E29" s="65">
        <f>IF(OR(C29="",D29=""),"",C29-D29)</f>
        <v>8</v>
      </c>
      <c r="F29" s="65">
        <v>2501</v>
      </c>
      <c r="G29" s="65">
        <v>2475</v>
      </c>
      <c r="H29" s="65">
        <f>IF(OR(F29="",G29=""),"",F29-G29)</f>
        <v>26</v>
      </c>
    </row>
    <row r="30" spans="1:8" ht="12.75">
      <c r="A30" s="69" t="s">
        <v>117</v>
      </c>
      <c r="B30" s="69" t="s">
        <v>122</v>
      </c>
      <c r="C30" s="70">
        <f aca="true" t="shared" si="4" ref="C30:H30">SUM(C26:C29)</f>
        <v>751</v>
      </c>
      <c r="D30" s="70">
        <f t="shared" si="4"/>
        <v>710</v>
      </c>
      <c r="E30" s="70">
        <f t="shared" si="4"/>
        <v>41</v>
      </c>
      <c r="F30" s="70">
        <f t="shared" si="4"/>
        <v>9170</v>
      </c>
      <c r="G30" s="70">
        <f t="shared" si="4"/>
        <v>11567.24</v>
      </c>
      <c r="H30" s="70">
        <f t="shared" si="4"/>
        <v>-2397.24</v>
      </c>
    </row>
    <row r="31" ht="3" customHeight="1">
      <c r="A31" s="71"/>
    </row>
    <row r="32" spans="1:8" ht="12.75">
      <c r="A32" s="15" t="s">
        <v>126</v>
      </c>
      <c r="B32" s="15"/>
      <c r="C32" s="72">
        <f aca="true" t="shared" si="5" ref="C32:H32">OPER_Total+INVES_Total+FINAN_Total</f>
        <v>642991.2500000001</v>
      </c>
      <c r="D32" s="72">
        <f t="shared" si="5"/>
        <v>130783.28000000001</v>
      </c>
      <c r="E32" s="72">
        <f t="shared" si="5"/>
        <v>512207.97000000003</v>
      </c>
      <c r="F32" s="72">
        <f t="shared" si="5"/>
        <v>1631598.93</v>
      </c>
      <c r="G32" s="72">
        <f t="shared" si="5"/>
        <v>1115454.4300000002</v>
      </c>
      <c r="H32" s="72">
        <f t="shared" si="5"/>
        <v>516144.4999999999</v>
      </c>
    </row>
    <row r="34" ht="12.75">
      <c r="A34" s="73" t="s">
        <v>312</v>
      </c>
    </row>
  </sheetData>
  <sheetProtection/>
  <printOptions/>
  <pageMargins left="0.37" right="0.25" top="0.72" bottom="1" header="0.5" footer="0.5"/>
  <pageSetup horizontalDpi="300" verticalDpi="300" orientation="portrait" r:id="rId2"/>
  <headerFooter alignWithMargins="0">
    <oddFooter>&amp;C© Copyright, 2003, JaxWorks, All Rights Reserved.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S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421875" style="73" bestFit="1" customWidth="1"/>
    <col min="2" max="2" width="30.8515625" style="16" bestFit="1" customWidth="1"/>
    <col min="3" max="5" width="8.7109375" style="58" customWidth="1"/>
    <col min="6" max="6" width="14.57421875" style="58" customWidth="1"/>
    <col min="7" max="7" width="8.7109375" style="58" customWidth="1"/>
    <col min="8" max="8" width="10.57421875" style="58" customWidth="1"/>
    <col min="9" max="9" width="13.8515625" style="58" customWidth="1"/>
    <col min="10" max="10" width="14.57421875" style="58" customWidth="1"/>
    <col min="11" max="11" width="11.140625" style="58" customWidth="1"/>
    <col min="12" max="13" width="13.140625" style="58" customWidth="1"/>
    <col min="14" max="14" width="14.57421875" style="58" customWidth="1"/>
    <col min="15" max="15" width="11.00390625" style="58" customWidth="1"/>
    <col min="16" max="16" width="11.8515625" style="58" customWidth="1"/>
    <col min="17" max="17" width="9.7109375" style="58" customWidth="1"/>
    <col min="18" max="18" width="14.57421875" style="58" customWidth="1"/>
    <col min="19" max="19" width="17.28125" style="58" bestFit="1" customWidth="1"/>
    <col min="20" max="16384" width="9.140625" style="16" customWidth="1"/>
  </cols>
  <sheetData>
    <row r="1" ht="12.75"/>
    <row r="2" ht="12.75"/>
    <row r="3" ht="12.75"/>
    <row r="4" ht="12.75"/>
    <row r="5" spans="1:2" ht="12.75">
      <c r="A5" s="57" t="s">
        <v>0</v>
      </c>
      <c r="B5" s="6" t="s">
        <v>127</v>
      </c>
    </row>
    <row r="7" spans="1:19" ht="12.75">
      <c r="A7" s="59" t="s">
        <v>3</v>
      </c>
      <c r="B7" s="60" t="s">
        <v>4</v>
      </c>
      <c r="C7" s="61">
        <v>36251</v>
      </c>
      <c r="D7" s="61">
        <v>36281</v>
      </c>
      <c r="E7" s="61">
        <v>36312</v>
      </c>
      <c r="F7" s="61" t="s">
        <v>128</v>
      </c>
      <c r="G7" s="61">
        <v>36342</v>
      </c>
      <c r="H7" s="61">
        <v>36373</v>
      </c>
      <c r="I7" s="61">
        <v>36404</v>
      </c>
      <c r="J7" s="61" t="s">
        <v>129</v>
      </c>
      <c r="K7" s="61">
        <v>36434</v>
      </c>
      <c r="L7" s="61">
        <v>36465</v>
      </c>
      <c r="M7" s="61">
        <v>36495</v>
      </c>
      <c r="N7" s="61" t="s">
        <v>130</v>
      </c>
      <c r="O7" s="61">
        <v>36526</v>
      </c>
      <c r="P7" s="61">
        <v>36557</v>
      </c>
      <c r="Q7" s="61">
        <v>36586</v>
      </c>
      <c r="R7" s="61" t="s">
        <v>131</v>
      </c>
      <c r="S7" s="61" t="s">
        <v>28</v>
      </c>
    </row>
    <row r="9" spans="1:2" ht="12.75">
      <c r="A9" s="15" t="s">
        <v>107</v>
      </c>
      <c r="B9" s="15"/>
    </row>
    <row r="10" spans="1:19" ht="12.75">
      <c r="A10" s="74" t="s">
        <v>108</v>
      </c>
      <c r="B10" s="64" t="s">
        <v>101</v>
      </c>
      <c r="C10" s="65">
        <v>275768.2</v>
      </c>
      <c r="D10" s="65">
        <v>279652.31</v>
      </c>
      <c r="E10" s="65">
        <v>295188.55</v>
      </c>
      <c r="F10" s="65">
        <f aca="true" t="shared" si="0" ref="F10:F30">SUBTOTAL(9,C10:E10)</f>
        <v>850609.06</v>
      </c>
      <c r="G10" s="65">
        <v>302956.69</v>
      </c>
      <c r="H10" s="65">
        <v>314608.86</v>
      </c>
      <c r="I10" s="65">
        <v>322376.99</v>
      </c>
      <c r="J10" s="65">
        <f aca="true" t="shared" si="1" ref="J10:J30">SUBTOTAL(9,G10:I10)</f>
        <v>939942.54</v>
      </c>
      <c r="K10" s="65">
        <v>330145.11</v>
      </c>
      <c r="L10" s="65">
        <v>337913.21</v>
      </c>
      <c r="M10" s="65">
        <v>345681.3</v>
      </c>
      <c r="N10" s="65">
        <f aca="true" t="shared" si="2" ref="N10:N30">SUBTOTAL(9,K10:M10)</f>
        <v>1013739.6200000001</v>
      </c>
      <c r="O10" s="65">
        <v>353449.44</v>
      </c>
      <c r="P10" s="65">
        <v>361217.63</v>
      </c>
      <c r="Q10" s="65">
        <v>365101.65</v>
      </c>
      <c r="R10" s="65">
        <f aca="true" t="shared" si="3" ref="R10:R30">SUBTOTAL(9,O10:Q10)</f>
        <v>1079768.7200000002</v>
      </c>
      <c r="S10" s="65">
        <f aca="true" t="shared" si="4" ref="S10:S30">SUBTOTAL(9,C10:R10)</f>
        <v>3884059.9399999995</v>
      </c>
    </row>
    <row r="11" spans="1:19" ht="12.75">
      <c r="A11" s="75" t="s">
        <v>18</v>
      </c>
      <c r="B11" s="67" t="s">
        <v>109</v>
      </c>
      <c r="C11" s="68">
        <v>-566488.3</v>
      </c>
      <c r="D11" s="68">
        <v>-228610.79</v>
      </c>
      <c r="E11" s="68">
        <v>-255774.12</v>
      </c>
      <c r="F11" s="68">
        <f t="shared" si="0"/>
        <v>-1050873.21</v>
      </c>
      <c r="G11" s="68">
        <v>-252000.4</v>
      </c>
      <c r="H11" s="68">
        <v>-266487.98</v>
      </c>
      <c r="I11" s="68">
        <v>-267851.01</v>
      </c>
      <c r="J11" s="68">
        <f t="shared" si="1"/>
        <v>-786339.39</v>
      </c>
      <c r="K11" s="68">
        <v>-274109.65</v>
      </c>
      <c r="L11" s="68">
        <v>-280516.28</v>
      </c>
      <c r="M11" s="68">
        <v>-286683.93</v>
      </c>
      <c r="N11" s="68">
        <f t="shared" si="2"/>
        <v>-841309.8600000001</v>
      </c>
      <c r="O11" s="68">
        <v>-292864.57</v>
      </c>
      <c r="P11" s="68">
        <v>-299201.25</v>
      </c>
      <c r="Q11" s="68">
        <v>202826.28</v>
      </c>
      <c r="R11" s="68">
        <f t="shared" si="3"/>
        <v>-389239.54000000004</v>
      </c>
      <c r="S11" s="68">
        <f t="shared" si="4"/>
        <v>-3067762.0000000005</v>
      </c>
    </row>
    <row r="12" spans="1:19" ht="12.75">
      <c r="A12" s="74" t="s">
        <v>20</v>
      </c>
      <c r="B12" s="64" t="s">
        <v>110</v>
      </c>
      <c r="C12" s="65">
        <v>998.17</v>
      </c>
      <c r="D12" s="65">
        <v>1317.69</v>
      </c>
      <c r="E12" s="65">
        <v>1340.82</v>
      </c>
      <c r="F12" s="65">
        <f t="shared" si="0"/>
        <v>3656.6800000000003</v>
      </c>
      <c r="G12" s="65">
        <v>1303.96</v>
      </c>
      <c r="H12" s="65">
        <v>1291.71</v>
      </c>
      <c r="I12" s="65">
        <v>1090.11</v>
      </c>
      <c r="J12" s="65">
        <f t="shared" si="1"/>
        <v>3685.7799999999997</v>
      </c>
      <c r="K12" s="65">
        <v>1306.1</v>
      </c>
      <c r="L12" s="65">
        <v>1261.12</v>
      </c>
      <c r="M12" s="65">
        <v>1317.59</v>
      </c>
      <c r="N12" s="65">
        <f t="shared" si="2"/>
        <v>3884.8099999999995</v>
      </c>
      <c r="O12" s="65">
        <v>1222.22</v>
      </c>
      <c r="P12" s="65">
        <v>1178.76</v>
      </c>
      <c r="Q12" s="65">
        <v>1309.55</v>
      </c>
      <c r="R12" s="65">
        <f t="shared" si="3"/>
        <v>3710.5299999999997</v>
      </c>
      <c r="S12" s="65">
        <f t="shared" si="4"/>
        <v>14937.8</v>
      </c>
    </row>
    <row r="13" spans="1:19" ht="12.75">
      <c r="A13" s="75" t="s">
        <v>22</v>
      </c>
      <c r="B13" s="67" t="s">
        <v>111</v>
      </c>
      <c r="C13" s="68">
        <v>3303.14</v>
      </c>
      <c r="D13" s="68">
        <v>3349.65</v>
      </c>
      <c r="E13" s="68">
        <v>3535.75</v>
      </c>
      <c r="F13" s="68">
        <f t="shared" si="0"/>
        <v>10188.54</v>
      </c>
      <c r="G13" s="68">
        <v>3628.8</v>
      </c>
      <c r="H13" s="68">
        <v>3768.36</v>
      </c>
      <c r="I13" s="68">
        <v>3861.42</v>
      </c>
      <c r="J13" s="68">
        <f t="shared" si="1"/>
        <v>11258.58</v>
      </c>
      <c r="K13" s="68">
        <v>3954.45</v>
      </c>
      <c r="L13" s="68">
        <v>4047.49</v>
      </c>
      <c r="M13" s="68">
        <v>4140.54</v>
      </c>
      <c r="N13" s="68">
        <f t="shared" si="2"/>
        <v>12142.48</v>
      </c>
      <c r="O13" s="68">
        <v>4233.6</v>
      </c>
      <c r="P13" s="68">
        <v>4326.64</v>
      </c>
      <c r="Q13" s="68">
        <v>4373.16</v>
      </c>
      <c r="R13" s="68">
        <f t="shared" si="3"/>
        <v>12933.400000000001</v>
      </c>
      <c r="S13" s="68">
        <f t="shared" si="4"/>
        <v>46523</v>
      </c>
    </row>
    <row r="14" spans="1:19" ht="12.75">
      <c r="A14" s="74" t="s">
        <v>24</v>
      </c>
      <c r="B14" s="64" t="s">
        <v>112</v>
      </c>
      <c r="C14" s="65">
        <v>-89959.31</v>
      </c>
      <c r="D14" s="65">
        <v>-8712.4</v>
      </c>
      <c r="E14" s="65">
        <v>-19078.17</v>
      </c>
      <c r="F14" s="65">
        <f t="shared" si="0"/>
        <v>-117749.87999999999</v>
      </c>
      <c r="G14" s="65">
        <v>-10160.38</v>
      </c>
      <c r="H14" s="65">
        <v>-14749</v>
      </c>
      <c r="I14" s="65">
        <v>-10066</v>
      </c>
      <c r="J14" s="65">
        <f t="shared" si="1"/>
        <v>-34975.38</v>
      </c>
      <c r="K14" s="65">
        <v>-9952.05</v>
      </c>
      <c r="L14" s="65">
        <v>-10131.55</v>
      </c>
      <c r="M14" s="65">
        <v>-10058.63</v>
      </c>
      <c r="N14" s="65">
        <f t="shared" si="2"/>
        <v>-30142.229999999996</v>
      </c>
      <c r="O14" s="65">
        <v>-10240.8</v>
      </c>
      <c r="P14" s="65">
        <v>-10027.47</v>
      </c>
      <c r="Q14" s="65">
        <v>-5385.8</v>
      </c>
      <c r="R14" s="65">
        <f t="shared" si="3"/>
        <v>-25654.069999999996</v>
      </c>
      <c r="S14" s="65">
        <f t="shared" si="4"/>
        <v>-208521.55999999997</v>
      </c>
    </row>
    <row r="15" spans="1:19" ht="12.75">
      <c r="A15" s="75" t="s">
        <v>26</v>
      </c>
      <c r="B15" s="67" t="s">
        <v>113</v>
      </c>
      <c r="C15" s="68">
        <v>-1836</v>
      </c>
      <c r="D15" s="68">
        <v>-1887</v>
      </c>
      <c r="E15" s="68">
        <v>-1840</v>
      </c>
      <c r="F15" s="68">
        <f t="shared" si="0"/>
        <v>-5563</v>
      </c>
      <c r="G15" s="68">
        <v>-1863</v>
      </c>
      <c r="H15" s="68">
        <v>-1768</v>
      </c>
      <c r="I15" s="68">
        <v>-2087</v>
      </c>
      <c r="J15" s="68">
        <f t="shared" si="1"/>
        <v>-5718</v>
      </c>
      <c r="K15" s="68">
        <v>-2057</v>
      </c>
      <c r="L15" s="68">
        <v>-1823</v>
      </c>
      <c r="M15" s="68">
        <v>-1878</v>
      </c>
      <c r="N15" s="68">
        <f t="shared" si="2"/>
        <v>-5758</v>
      </c>
      <c r="O15" s="68">
        <v>-1947</v>
      </c>
      <c r="P15" s="68">
        <v>-2035</v>
      </c>
      <c r="Q15" s="68">
        <v>-1804</v>
      </c>
      <c r="R15" s="68">
        <f t="shared" si="3"/>
        <v>-5786</v>
      </c>
      <c r="S15" s="68">
        <f t="shared" si="4"/>
        <v>-22825</v>
      </c>
    </row>
    <row r="16" spans="1:19" ht="12.75">
      <c r="A16" s="74" t="s">
        <v>39</v>
      </c>
      <c r="B16" s="64" t="s">
        <v>114</v>
      </c>
      <c r="C16" s="65">
        <v>194284.13</v>
      </c>
      <c r="D16" s="65">
        <v>30986.92</v>
      </c>
      <c r="E16" s="65">
        <v>33005.11</v>
      </c>
      <c r="F16" s="65">
        <f t="shared" si="0"/>
        <v>258276.15999999997</v>
      </c>
      <c r="G16" s="65">
        <v>33656.1</v>
      </c>
      <c r="H16" s="65">
        <v>35043.38</v>
      </c>
      <c r="I16" s="65">
        <v>35805.39</v>
      </c>
      <c r="J16" s="65">
        <f t="shared" si="1"/>
        <v>104504.87</v>
      </c>
      <c r="K16" s="65">
        <v>36659.75</v>
      </c>
      <c r="L16" s="65">
        <v>37512.43</v>
      </c>
      <c r="M16" s="65">
        <v>38374.78</v>
      </c>
      <c r="N16" s="65">
        <f t="shared" si="2"/>
        <v>112546.95999999999</v>
      </c>
      <c r="O16" s="65">
        <v>39240.06</v>
      </c>
      <c r="P16" s="65">
        <v>40086.45</v>
      </c>
      <c r="Q16" s="65">
        <v>40428.05</v>
      </c>
      <c r="R16" s="65">
        <f t="shared" si="3"/>
        <v>119754.56</v>
      </c>
      <c r="S16" s="65">
        <f t="shared" si="4"/>
        <v>595082.55</v>
      </c>
    </row>
    <row r="17" spans="1:19" ht="12.75">
      <c r="A17" s="75" t="s">
        <v>41</v>
      </c>
      <c r="B17" s="67" t="s">
        <v>115</v>
      </c>
      <c r="C17" s="68">
        <v>-418</v>
      </c>
      <c r="D17" s="68">
        <v>-430</v>
      </c>
      <c r="E17" s="68">
        <v>-524</v>
      </c>
      <c r="F17" s="68">
        <f t="shared" si="0"/>
        <v>-1372</v>
      </c>
      <c r="G17" s="68">
        <v>-462</v>
      </c>
      <c r="H17" s="68">
        <v>-520</v>
      </c>
      <c r="I17" s="68">
        <v>-437</v>
      </c>
      <c r="J17" s="68">
        <f t="shared" si="1"/>
        <v>-1419</v>
      </c>
      <c r="K17" s="68">
        <v>-470</v>
      </c>
      <c r="L17" s="68">
        <v>-485</v>
      </c>
      <c r="M17" s="68">
        <v>-434</v>
      </c>
      <c r="N17" s="68">
        <f t="shared" si="2"/>
        <v>-1389</v>
      </c>
      <c r="O17" s="68">
        <v>-415</v>
      </c>
      <c r="P17" s="68">
        <v>-406</v>
      </c>
      <c r="Q17" s="68">
        <v>-491</v>
      </c>
      <c r="R17" s="68">
        <f t="shared" si="3"/>
        <v>-1312</v>
      </c>
      <c r="S17" s="68">
        <f t="shared" si="4"/>
        <v>-5492</v>
      </c>
    </row>
    <row r="18" spans="1:19" ht="12.75">
      <c r="A18" s="74" t="s">
        <v>43</v>
      </c>
      <c r="B18" s="64" t="s">
        <v>116</v>
      </c>
      <c r="C18" s="65">
        <v>12343.2</v>
      </c>
      <c r="D18" s="65">
        <v>12447</v>
      </c>
      <c r="E18" s="65">
        <v>12434</v>
      </c>
      <c r="F18" s="65">
        <f t="shared" si="0"/>
        <v>37224.2</v>
      </c>
      <c r="G18" s="65">
        <v>11505</v>
      </c>
      <c r="H18" s="65">
        <v>10963</v>
      </c>
      <c r="I18" s="65">
        <v>9545</v>
      </c>
      <c r="J18" s="65">
        <f t="shared" si="1"/>
        <v>32013</v>
      </c>
      <c r="K18" s="65">
        <v>10104</v>
      </c>
      <c r="L18" s="65">
        <v>12359</v>
      </c>
      <c r="M18" s="65">
        <v>11727</v>
      </c>
      <c r="N18" s="65">
        <f t="shared" si="2"/>
        <v>34190</v>
      </c>
      <c r="O18" s="65">
        <v>13310</v>
      </c>
      <c r="P18" s="65">
        <v>12146</v>
      </c>
      <c r="Q18" s="65">
        <v>12819</v>
      </c>
      <c r="R18" s="65">
        <f t="shared" si="3"/>
        <v>38275</v>
      </c>
      <c r="S18" s="65">
        <f t="shared" si="4"/>
        <v>141702.2</v>
      </c>
    </row>
    <row r="19" spans="1:19" ht="12.75">
      <c r="A19" s="69" t="s">
        <v>117</v>
      </c>
      <c r="B19" s="69" t="s">
        <v>107</v>
      </c>
      <c r="C19" s="70">
        <f aca="true" t="shared" si="5" ref="C19:S19">SUM(C9:C18)</f>
        <v>-172004.77000000002</v>
      </c>
      <c r="D19" s="70">
        <f t="shared" si="5"/>
        <v>88113.37999999999</v>
      </c>
      <c r="E19" s="70">
        <f t="shared" si="5"/>
        <v>68287.94</v>
      </c>
      <c r="F19" s="70">
        <f t="shared" si="5"/>
        <v>-15603.44999999991</v>
      </c>
      <c r="G19" s="70">
        <f t="shared" si="5"/>
        <v>88564.77000000002</v>
      </c>
      <c r="H19" s="70">
        <f t="shared" si="5"/>
        <v>82150.33</v>
      </c>
      <c r="I19" s="70">
        <f t="shared" si="5"/>
        <v>92237.89999999998</v>
      </c>
      <c r="J19" s="70">
        <f t="shared" si="5"/>
        <v>262953</v>
      </c>
      <c r="K19" s="70">
        <f t="shared" si="5"/>
        <v>95580.70999999996</v>
      </c>
      <c r="L19" s="70">
        <f t="shared" si="5"/>
        <v>100137.41999999998</v>
      </c>
      <c r="M19" s="70">
        <f t="shared" si="5"/>
        <v>102186.65</v>
      </c>
      <c r="N19" s="70">
        <f t="shared" si="5"/>
        <v>297904.78</v>
      </c>
      <c r="O19" s="70">
        <f t="shared" si="5"/>
        <v>105987.95</v>
      </c>
      <c r="P19" s="70">
        <f t="shared" si="5"/>
        <v>107285.76000000001</v>
      </c>
      <c r="Q19" s="70">
        <f t="shared" si="5"/>
        <v>619176.8900000001</v>
      </c>
      <c r="R19" s="70">
        <f t="shared" si="5"/>
        <v>832450.6000000003</v>
      </c>
      <c r="S19" s="70">
        <f t="shared" si="5"/>
        <v>1377704.929999999</v>
      </c>
    </row>
    <row r="20" ht="1.5" customHeight="1"/>
    <row r="21" spans="1:2" ht="12.75">
      <c r="A21" s="15" t="s">
        <v>118</v>
      </c>
      <c r="B21" s="15"/>
    </row>
    <row r="22" spans="1:19" ht="12.75">
      <c r="A22" s="74" t="s">
        <v>34</v>
      </c>
      <c r="B22" s="64" t="s">
        <v>119</v>
      </c>
      <c r="C22" s="65">
        <v>-491</v>
      </c>
      <c r="D22" s="65">
        <v>-420</v>
      </c>
      <c r="E22" s="65">
        <v>-443</v>
      </c>
      <c r="F22" s="65">
        <f t="shared" si="0"/>
        <v>-1354</v>
      </c>
      <c r="G22" s="65">
        <v>-437</v>
      </c>
      <c r="H22" s="65">
        <v>-414</v>
      </c>
      <c r="I22" s="65">
        <v>-418</v>
      </c>
      <c r="J22" s="65">
        <f t="shared" si="1"/>
        <v>-1269</v>
      </c>
      <c r="K22" s="65">
        <v>-413</v>
      </c>
      <c r="L22" s="65">
        <v>-463</v>
      </c>
      <c r="M22" s="65">
        <v>-390</v>
      </c>
      <c r="N22" s="65">
        <f t="shared" si="2"/>
        <v>-1266</v>
      </c>
      <c r="O22" s="65">
        <v>-419</v>
      </c>
      <c r="P22" s="65">
        <v>-420</v>
      </c>
      <c r="Q22" s="65">
        <v>-398</v>
      </c>
      <c r="R22" s="65">
        <f t="shared" si="3"/>
        <v>-1237</v>
      </c>
      <c r="S22" s="65">
        <f t="shared" si="4"/>
        <v>-5126</v>
      </c>
    </row>
    <row r="23" spans="1:19" ht="12.75">
      <c r="A23" s="75" t="s">
        <v>30</v>
      </c>
      <c r="B23" s="67" t="s">
        <v>120</v>
      </c>
      <c r="C23" s="68">
        <v>372</v>
      </c>
      <c r="D23" s="68">
        <v>336</v>
      </c>
      <c r="E23" s="68">
        <v>344</v>
      </c>
      <c r="F23" s="68">
        <f t="shared" si="0"/>
        <v>1052</v>
      </c>
      <c r="G23" s="68">
        <v>327</v>
      </c>
      <c r="H23" s="68">
        <v>360</v>
      </c>
      <c r="I23" s="68">
        <v>264</v>
      </c>
      <c r="J23" s="68">
        <f t="shared" si="1"/>
        <v>951</v>
      </c>
      <c r="K23" s="68">
        <v>351</v>
      </c>
      <c r="L23" s="68">
        <v>343</v>
      </c>
      <c r="M23" s="68">
        <v>333</v>
      </c>
      <c r="N23" s="68">
        <f t="shared" si="2"/>
        <v>1027</v>
      </c>
      <c r="O23" s="68">
        <v>297</v>
      </c>
      <c r="P23" s="68">
        <v>346</v>
      </c>
      <c r="Q23" s="68">
        <v>354</v>
      </c>
      <c r="R23" s="68">
        <f t="shared" si="3"/>
        <v>997</v>
      </c>
      <c r="S23" s="68">
        <f t="shared" si="4"/>
        <v>4027</v>
      </c>
    </row>
    <row r="24" spans="1:19" ht="12.75">
      <c r="A24" s="74" t="s">
        <v>32</v>
      </c>
      <c r="B24" s="64" t="s">
        <v>121</v>
      </c>
      <c r="C24" s="65">
        <v>17453.44</v>
      </c>
      <c r="D24" s="65">
        <v>17699.27</v>
      </c>
      <c r="E24" s="65">
        <v>18682.55</v>
      </c>
      <c r="F24" s="65">
        <f t="shared" si="0"/>
        <v>53835.259999999995</v>
      </c>
      <c r="G24" s="65">
        <v>19174.18</v>
      </c>
      <c r="H24" s="65">
        <v>19911.67</v>
      </c>
      <c r="I24" s="65">
        <v>20403.29</v>
      </c>
      <c r="J24" s="65">
        <f t="shared" si="1"/>
        <v>59489.14</v>
      </c>
      <c r="K24" s="65">
        <v>20894.96</v>
      </c>
      <c r="L24" s="65">
        <v>21386.62</v>
      </c>
      <c r="M24" s="65">
        <v>21878.24</v>
      </c>
      <c r="N24" s="65">
        <f t="shared" si="2"/>
        <v>64159.82000000001</v>
      </c>
      <c r="O24" s="65">
        <v>22369.9</v>
      </c>
      <c r="P24" s="65">
        <v>22861.52</v>
      </c>
      <c r="Q24" s="65">
        <v>23107.36</v>
      </c>
      <c r="R24" s="65">
        <f t="shared" si="3"/>
        <v>68338.78</v>
      </c>
      <c r="S24" s="65">
        <f t="shared" si="4"/>
        <v>245822.99999999994</v>
      </c>
    </row>
    <row r="25" spans="1:19" ht="12.75">
      <c r="A25" s="69" t="s">
        <v>117</v>
      </c>
      <c r="B25" s="69" t="s">
        <v>118</v>
      </c>
      <c r="C25" s="70">
        <f aca="true" t="shared" si="6" ref="C25:S25">SUM(C21:C24)</f>
        <v>17334.44</v>
      </c>
      <c r="D25" s="70">
        <f t="shared" si="6"/>
        <v>17615.27</v>
      </c>
      <c r="E25" s="70">
        <f t="shared" si="6"/>
        <v>18583.55</v>
      </c>
      <c r="F25" s="70">
        <f t="shared" si="6"/>
        <v>53533.259999999995</v>
      </c>
      <c r="G25" s="70">
        <f t="shared" si="6"/>
        <v>19064.18</v>
      </c>
      <c r="H25" s="70">
        <f t="shared" si="6"/>
        <v>19857.67</v>
      </c>
      <c r="I25" s="70">
        <f t="shared" si="6"/>
        <v>20249.29</v>
      </c>
      <c r="J25" s="70">
        <f t="shared" si="6"/>
        <v>59171.14</v>
      </c>
      <c r="K25" s="70">
        <f t="shared" si="6"/>
        <v>20832.96</v>
      </c>
      <c r="L25" s="70">
        <f t="shared" si="6"/>
        <v>21266.62</v>
      </c>
      <c r="M25" s="70">
        <f t="shared" si="6"/>
        <v>21821.24</v>
      </c>
      <c r="N25" s="70">
        <f t="shared" si="6"/>
        <v>63920.82000000001</v>
      </c>
      <c r="O25" s="70">
        <f t="shared" si="6"/>
        <v>22247.9</v>
      </c>
      <c r="P25" s="70">
        <f t="shared" si="6"/>
        <v>22787.52</v>
      </c>
      <c r="Q25" s="70">
        <f t="shared" si="6"/>
        <v>23063.36</v>
      </c>
      <c r="R25" s="70">
        <f t="shared" si="6"/>
        <v>68098.78</v>
      </c>
      <c r="S25" s="70">
        <f t="shared" si="6"/>
        <v>244723.99999999994</v>
      </c>
    </row>
    <row r="26" ht="1.5" customHeight="1"/>
    <row r="27" spans="1:2" ht="12.75">
      <c r="A27" s="15" t="s">
        <v>122</v>
      </c>
      <c r="B27" s="15"/>
    </row>
    <row r="28" spans="1:19" ht="12.75">
      <c r="A28" s="74" t="s">
        <v>46</v>
      </c>
      <c r="B28" s="64" t="s">
        <v>123</v>
      </c>
      <c r="C28" s="65">
        <v>312</v>
      </c>
      <c r="D28" s="65">
        <v>396</v>
      </c>
      <c r="E28" s="65">
        <v>319</v>
      </c>
      <c r="F28" s="65">
        <f t="shared" si="0"/>
        <v>1027</v>
      </c>
      <c r="G28" s="65">
        <v>359</v>
      </c>
      <c r="H28" s="65">
        <v>324</v>
      </c>
      <c r="I28" s="65">
        <v>352</v>
      </c>
      <c r="J28" s="65">
        <f t="shared" si="1"/>
        <v>1035</v>
      </c>
      <c r="K28" s="65">
        <v>418</v>
      </c>
      <c r="L28" s="65">
        <v>391</v>
      </c>
      <c r="M28" s="65">
        <v>347</v>
      </c>
      <c r="N28" s="65">
        <f t="shared" si="2"/>
        <v>1156</v>
      </c>
      <c r="O28" s="65">
        <v>348</v>
      </c>
      <c r="P28" s="65">
        <v>318</v>
      </c>
      <c r="Q28" s="65">
        <v>279</v>
      </c>
      <c r="R28" s="65">
        <f t="shared" si="3"/>
        <v>945</v>
      </c>
      <c r="S28" s="65">
        <f t="shared" si="4"/>
        <v>4163</v>
      </c>
    </row>
    <row r="29" spans="1:19" ht="12.75">
      <c r="A29" s="75" t="s">
        <v>48</v>
      </c>
      <c r="B29" s="67" t="s">
        <v>124</v>
      </c>
      <c r="C29" s="68">
        <v>262</v>
      </c>
      <c r="D29" s="68">
        <v>226</v>
      </c>
      <c r="E29" s="68">
        <v>207</v>
      </c>
      <c r="F29" s="68">
        <f t="shared" si="0"/>
        <v>695</v>
      </c>
      <c r="G29" s="68">
        <v>204</v>
      </c>
      <c r="H29" s="68">
        <v>184</v>
      </c>
      <c r="I29" s="68">
        <v>225</v>
      </c>
      <c r="J29" s="68">
        <f t="shared" si="1"/>
        <v>613</v>
      </c>
      <c r="K29" s="68">
        <v>157</v>
      </c>
      <c r="L29" s="68">
        <v>171</v>
      </c>
      <c r="M29" s="68">
        <v>186</v>
      </c>
      <c r="N29" s="68">
        <f t="shared" si="2"/>
        <v>514</v>
      </c>
      <c r="O29" s="68">
        <v>234</v>
      </c>
      <c r="P29" s="68">
        <v>189</v>
      </c>
      <c r="Q29" s="68">
        <v>261</v>
      </c>
      <c r="R29" s="68">
        <f t="shared" si="3"/>
        <v>684</v>
      </c>
      <c r="S29" s="68">
        <f t="shared" si="4"/>
        <v>2506</v>
      </c>
    </row>
    <row r="30" spans="1:19" ht="12.75">
      <c r="A30" s="74" t="s">
        <v>52</v>
      </c>
      <c r="B30" s="64" t="s">
        <v>125</v>
      </c>
      <c r="C30" s="65">
        <v>202</v>
      </c>
      <c r="D30" s="65">
        <v>180</v>
      </c>
      <c r="E30" s="65">
        <v>171</v>
      </c>
      <c r="F30" s="65">
        <f t="shared" si="0"/>
        <v>553</v>
      </c>
      <c r="G30" s="65">
        <v>233</v>
      </c>
      <c r="H30" s="65">
        <v>174</v>
      </c>
      <c r="I30" s="65">
        <v>253</v>
      </c>
      <c r="J30" s="65">
        <f t="shared" si="1"/>
        <v>660</v>
      </c>
      <c r="K30" s="65">
        <v>178</v>
      </c>
      <c r="L30" s="65">
        <v>239</v>
      </c>
      <c r="M30" s="65">
        <v>231</v>
      </c>
      <c r="N30" s="65">
        <f t="shared" si="2"/>
        <v>648</v>
      </c>
      <c r="O30" s="65">
        <v>226</v>
      </c>
      <c r="P30" s="65">
        <v>203</v>
      </c>
      <c r="Q30" s="65">
        <v>211</v>
      </c>
      <c r="R30" s="65">
        <f t="shared" si="3"/>
        <v>640</v>
      </c>
      <c r="S30" s="65">
        <f t="shared" si="4"/>
        <v>2501</v>
      </c>
    </row>
    <row r="31" spans="1:19" ht="12.75">
      <c r="A31" s="69" t="s">
        <v>117</v>
      </c>
      <c r="B31" s="69" t="s">
        <v>122</v>
      </c>
      <c r="C31" s="70">
        <f aca="true" t="shared" si="7" ref="C31:S31">SUM(C27:C30)</f>
        <v>776</v>
      </c>
      <c r="D31" s="70">
        <f t="shared" si="7"/>
        <v>802</v>
      </c>
      <c r="E31" s="70">
        <f t="shared" si="7"/>
        <v>697</v>
      </c>
      <c r="F31" s="70">
        <f t="shared" si="7"/>
        <v>2275</v>
      </c>
      <c r="G31" s="70">
        <f t="shared" si="7"/>
        <v>796</v>
      </c>
      <c r="H31" s="70">
        <f t="shared" si="7"/>
        <v>682</v>
      </c>
      <c r="I31" s="70">
        <f t="shared" si="7"/>
        <v>830</v>
      </c>
      <c r="J31" s="70">
        <f t="shared" si="7"/>
        <v>2308</v>
      </c>
      <c r="K31" s="70">
        <f t="shared" si="7"/>
        <v>753</v>
      </c>
      <c r="L31" s="70">
        <f t="shared" si="7"/>
        <v>801</v>
      </c>
      <c r="M31" s="70">
        <f t="shared" si="7"/>
        <v>764</v>
      </c>
      <c r="N31" s="70">
        <f t="shared" si="7"/>
        <v>2318</v>
      </c>
      <c r="O31" s="70">
        <f t="shared" si="7"/>
        <v>808</v>
      </c>
      <c r="P31" s="70">
        <f t="shared" si="7"/>
        <v>710</v>
      </c>
      <c r="Q31" s="70">
        <f t="shared" si="7"/>
        <v>751</v>
      </c>
      <c r="R31" s="70">
        <f t="shared" si="7"/>
        <v>2269</v>
      </c>
      <c r="S31" s="70">
        <f t="shared" si="7"/>
        <v>9170</v>
      </c>
    </row>
    <row r="32" ht="3" customHeight="1"/>
    <row r="33" spans="1:19" ht="12.75">
      <c r="A33" s="15" t="s">
        <v>126</v>
      </c>
      <c r="B33" s="15"/>
      <c r="C33" s="72">
        <f aca="true" t="shared" si="8" ref="C33:S33">OPER_Total+INVES_Total+FINAN_Total</f>
        <v>-153894.33000000002</v>
      </c>
      <c r="D33" s="72">
        <f t="shared" si="8"/>
        <v>106530.65</v>
      </c>
      <c r="E33" s="72">
        <f t="shared" si="8"/>
        <v>87568.49</v>
      </c>
      <c r="F33" s="72">
        <f t="shared" si="8"/>
        <v>40204.810000000085</v>
      </c>
      <c r="G33" s="72">
        <f t="shared" si="8"/>
        <v>108424.95000000001</v>
      </c>
      <c r="H33" s="72">
        <f t="shared" si="8"/>
        <v>102690</v>
      </c>
      <c r="I33" s="72">
        <f t="shared" si="8"/>
        <v>113317.18999999997</v>
      </c>
      <c r="J33" s="72">
        <f t="shared" si="8"/>
        <v>324432.14</v>
      </c>
      <c r="K33" s="72">
        <f t="shared" si="8"/>
        <v>117166.66999999995</v>
      </c>
      <c r="L33" s="72">
        <f t="shared" si="8"/>
        <v>122205.03999999998</v>
      </c>
      <c r="M33" s="72">
        <f t="shared" si="8"/>
        <v>124771.89</v>
      </c>
      <c r="N33" s="72">
        <f t="shared" si="8"/>
        <v>364143.60000000003</v>
      </c>
      <c r="O33" s="72">
        <f t="shared" si="8"/>
        <v>129043.85</v>
      </c>
      <c r="P33" s="72">
        <f t="shared" si="8"/>
        <v>130783.28000000001</v>
      </c>
      <c r="Q33" s="72">
        <f t="shared" si="8"/>
        <v>642991.2500000001</v>
      </c>
      <c r="R33" s="72">
        <f t="shared" si="8"/>
        <v>902818.3800000004</v>
      </c>
      <c r="S33" s="72">
        <f t="shared" si="8"/>
        <v>1631598.929999999</v>
      </c>
    </row>
    <row r="35" ht="12.75">
      <c r="A35" s="73" t="s">
        <v>312</v>
      </c>
    </row>
  </sheetData>
  <sheetProtection/>
  <printOptions/>
  <pageMargins left="0.37" right="0.25" top="0.72" bottom="1" header="0.5" footer="0.5"/>
  <pageSetup horizontalDpi="300" verticalDpi="300" orientation="portrait" r:id="rId2"/>
  <headerFooter alignWithMargins="0">
    <oddFooter>&amp;C© Copyright, 2003, JaxWorks, All Rights Reserved.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421875" style="81" bestFit="1" customWidth="1"/>
    <col min="2" max="2" width="25.57421875" style="81" bestFit="1" customWidth="1"/>
    <col min="3" max="4" width="15.00390625" style="77" bestFit="1" customWidth="1"/>
    <col min="5" max="5" width="11.57421875" style="77" bestFit="1" customWidth="1"/>
    <col min="6" max="6" width="11.57421875" style="78" bestFit="1" customWidth="1"/>
    <col min="7" max="8" width="17.28125" style="77" bestFit="1" customWidth="1"/>
    <col min="9" max="9" width="8.140625" style="77" bestFit="1" customWidth="1"/>
    <col min="10" max="10" width="10.421875" style="78" bestFit="1" customWidth="1"/>
    <col min="11" max="183" width="17.421875" style="0" customWidth="1"/>
    <col min="184" max="232" width="11.00390625" style="0" customWidth="1"/>
    <col min="233" max="233" width="12.00390625" style="0" customWidth="1"/>
    <col min="234" max="234" width="13.57421875" style="0" customWidth="1"/>
    <col min="235" max="235" width="11.00390625" style="0" customWidth="1"/>
    <col min="236" max="236" width="10.421875" style="0" customWidth="1"/>
    <col min="237" max="237" width="12.00390625" style="0" customWidth="1"/>
    <col min="238" max="238" width="12.57421875" style="0" customWidth="1"/>
  </cols>
  <sheetData>
    <row r="1" spans="1:10" s="79" customFormat="1" ht="12.75">
      <c r="A1" s="76"/>
      <c r="B1" s="76"/>
      <c r="C1" s="77"/>
      <c r="D1" s="77"/>
      <c r="E1" s="77"/>
      <c r="F1" s="78"/>
      <c r="G1" s="77"/>
      <c r="H1" s="77"/>
      <c r="I1" s="77"/>
      <c r="J1" s="78"/>
    </row>
    <row r="2" spans="1:10" s="79" customFormat="1" ht="12.75">
      <c r="A2" s="76"/>
      <c r="B2" s="76"/>
      <c r="C2" s="77"/>
      <c r="D2" s="77"/>
      <c r="E2" s="77"/>
      <c r="F2" s="78"/>
      <c r="G2" s="77"/>
      <c r="H2" s="77"/>
      <c r="I2" s="77"/>
      <c r="J2" s="78"/>
    </row>
    <row r="3" ht="12.75"/>
    <row r="4" ht="12.75"/>
    <row r="5" spans="1:2" ht="12.75">
      <c r="A5" s="5" t="s">
        <v>0</v>
      </c>
      <c r="B5" s="80">
        <v>36586</v>
      </c>
    </row>
    <row r="6" ht="3.75" customHeight="1"/>
    <row r="7" spans="1:10" ht="22.5">
      <c r="A7" s="41" t="s">
        <v>3</v>
      </c>
      <c r="B7" s="82" t="s">
        <v>4</v>
      </c>
      <c r="C7" s="83">
        <v>36586</v>
      </c>
      <c r="D7" s="83">
        <v>36557</v>
      </c>
      <c r="E7" s="83" t="s">
        <v>132</v>
      </c>
      <c r="F7" s="83" t="s">
        <v>133</v>
      </c>
      <c r="G7" s="84" t="s">
        <v>104</v>
      </c>
      <c r="H7" s="84" t="s">
        <v>105</v>
      </c>
      <c r="I7" s="83" t="s">
        <v>132</v>
      </c>
      <c r="J7" s="83" t="s">
        <v>133</v>
      </c>
    </row>
    <row r="8" ht="1.5" customHeight="1"/>
    <row r="9" spans="1:2" ht="12.75">
      <c r="A9" s="15" t="s">
        <v>56</v>
      </c>
      <c r="B9" s="15"/>
    </row>
    <row r="10" spans="1:10" ht="13.5" thickBot="1">
      <c r="A10" s="85" t="s">
        <v>57</v>
      </c>
      <c r="B10" s="86" t="s">
        <v>58</v>
      </c>
      <c r="C10" s="35">
        <v>230525.51</v>
      </c>
      <c r="D10" s="35">
        <v>228073.12</v>
      </c>
      <c r="E10" s="87">
        <f>C10-D10</f>
        <v>2452.390000000014</v>
      </c>
      <c r="F10" s="88">
        <f>IF(ISERROR(E10/D10),0,E10/D10)</f>
        <v>0.01075264809811877</v>
      </c>
      <c r="G10" s="35">
        <v>2452399</v>
      </c>
      <c r="H10" s="35">
        <v>2452398.98</v>
      </c>
      <c r="I10" s="87">
        <f>G10-H10</f>
        <v>0.02000000001862645</v>
      </c>
      <c r="J10" s="88">
        <f>IF(ISERROR(I10/H10),0,I10/H10)</f>
        <v>8.155279863403977E-09</v>
      </c>
    </row>
    <row r="11" spans="1:10" ht="13.5" thickBot="1">
      <c r="A11" s="89" t="s">
        <v>59</v>
      </c>
      <c r="B11" s="90" t="s">
        <v>60</v>
      </c>
      <c r="C11" s="20">
        <v>138311.51</v>
      </c>
      <c r="D11" s="20">
        <v>136840.12</v>
      </c>
      <c r="E11" s="91">
        <f>C11-D11</f>
        <v>1471.390000000014</v>
      </c>
      <c r="F11" s="92">
        <f>IF(ISERROR(E11/D11),0,E11/D11)</f>
        <v>0.010752621380337973</v>
      </c>
      <c r="G11" s="20">
        <v>1471399.02</v>
      </c>
      <c r="H11" s="20">
        <v>1471398.98</v>
      </c>
      <c r="I11" s="91">
        <f>G11-H11</f>
        <v>0.0400000000372529</v>
      </c>
      <c r="J11" s="92">
        <f>IF(ISERROR(I11/H11),0,I11/H11)</f>
        <v>2.7185012753816712E-08</v>
      </c>
    </row>
    <row r="12" spans="1:10" ht="13.5" thickBot="1">
      <c r="A12" s="85" t="s">
        <v>61</v>
      </c>
      <c r="B12" s="86" t="s">
        <v>62</v>
      </c>
      <c r="C12" s="35">
        <v>224780.98</v>
      </c>
      <c r="D12" s="35">
        <v>222389.69</v>
      </c>
      <c r="E12" s="87">
        <f>C12-D12</f>
        <v>2391.290000000008</v>
      </c>
      <c r="F12" s="88">
        <f>IF(ISERROR(E12/D12),0,E12/D12)</f>
        <v>0.010752701710227701</v>
      </c>
      <c r="G12" s="35">
        <v>2391286.98</v>
      </c>
      <c r="H12" s="35">
        <v>2391286.98</v>
      </c>
      <c r="I12" s="87">
        <f>G12-H12</f>
        <v>0</v>
      </c>
      <c r="J12" s="88">
        <f>IF(ISERROR(I12/H12),0,I12/H12)</f>
        <v>0</v>
      </c>
    </row>
    <row r="13" spans="1:10" ht="13.5" thickBot="1">
      <c r="A13" s="89" t="s">
        <v>63</v>
      </c>
      <c r="B13" s="90" t="s">
        <v>64</v>
      </c>
      <c r="C13" s="20">
        <v>5594.71</v>
      </c>
      <c r="D13" s="20">
        <v>5535.17</v>
      </c>
      <c r="E13" s="91">
        <f>C13-D13</f>
        <v>59.539999999999964</v>
      </c>
      <c r="F13" s="92">
        <f>IF(ISERROR(E13/D13),0,E13/D13)</f>
        <v>0.010756670526831148</v>
      </c>
      <c r="G13" s="20">
        <v>59517.99</v>
      </c>
      <c r="H13" s="20">
        <v>59517.97</v>
      </c>
      <c r="I13" s="91">
        <f>G13-H13</f>
        <v>0.01999999999679858</v>
      </c>
      <c r="J13" s="92">
        <f>IF(ISERROR(I13/H13),0,I13/H13)</f>
        <v>3.360329661243248E-07</v>
      </c>
    </row>
    <row r="14" spans="1:10" ht="12.75">
      <c r="A14" s="36" t="s">
        <v>28</v>
      </c>
      <c r="B14" s="36" t="s">
        <v>56</v>
      </c>
      <c r="C14" s="93">
        <f aca="true" t="shared" si="0" ref="C14:H14">SUM(C9:C13)</f>
        <v>599212.71</v>
      </c>
      <c r="D14" s="93">
        <f t="shared" si="0"/>
        <v>592838.1</v>
      </c>
      <c r="E14" s="93">
        <f>C14-D14</f>
        <v>6374.609999999986</v>
      </c>
      <c r="F14" s="94">
        <f>IF(ISERROR(E14/D14),0,E14/D14)</f>
        <v>0.010752699598760582</v>
      </c>
      <c r="G14" s="93">
        <f t="shared" si="0"/>
        <v>6374602.99</v>
      </c>
      <c r="H14" s="93">
        <f t="shared" si="0"/>
        <v>6374602.909999999</v>
      </c>
      <c r="I14" s="93">
        <f>G14-H14</f>
        <v>0.08000000100582838</v>
      </c>
      <c r="J14" s="94">
        <f>IF(ISERROR(I14/H14),0,I14/H14)</f>
        <v>1.2549801475528832E-08</v>
      </c>
    </row>
    <row r="15" ht="1.5" customHeight="1">
      <c r="A15" s="95"/>
    </row>
    <row r="16" spans="1:2" ht="12.75">
      <c r="A16" s="15" t="s">
        <v>134</v>
      </c>
      <c r="B16" s="15"/>
    </row>
    <row r="17" spans="1:10" ht="13.5" thickBot="1">
      <c r="A17" s="85" t="s">
        <v>66</v>
      </c>
      <c r="B17" s="86" t="s">
        <v>67</v>
      </c>
      <c r="C17" s="35">
        <v>67033.09</v>
      </c>
      <c r="D17" s="35">
        <v>66319.97</v>
      </c>
      <c r="E17" s="87">
        <f>D17-C17</f>
        <v>-713.1199999999953</v>
      </c>
      <c r="F17" s="88">
        <f>IF(ISERROR(E17/D17),0,E17/D17)</f>
        <v>-0.01075271897740598</v>
      </c>
      <c r="G17" s="35">
        <v>713117.97</v>
      </c>
      <c r="H17" s="35">
        <v>713118</v>
      </c>
      <c r="I17" s="87">
        <f>H17-G17</f>
        <v>0.030000000027939677</v>
      </c>
      <c r="J17" s="88">
        <f>IF(ISERROR(I17/H17),0,I17/H17)</f>
        <v>4.206877407096676E-08</v>
      </c>
    </row>
    <row r="18" spans="1:10" ht="13.5" thickBot="1">
      <c r="A18" s="89" t="s">
        <v>68</v>
      </c>
      <c r="B18" s="90" t="s">
        <v>69</v>
      </c>
      <c r="C18" s="20">
        <v>85663.98</v>
      </c>
      <c r="D18" s="20">
        <v>84752.68</v>
      </c>
      <c r="E18" s="91">
        <f>D18-C18</f>
        <v>-911.3000000000029</v>
      </c>
      <c r="F18" s="92">
        <f>IF(ISERROR(E18/D18),0,E18/D18)</f>
        <v>-0.010752462341013912</v>
      </c>
      <c r="G18" s="20">
        <v>911318.98</v>
      </c>
      <c r="H18" s="20">
        <v>911319.05</v>
      </c>
      <c r="I18" s="91">
        <f>H18-G18</f>
        <v>0.07000000006519258</v>
      </c>
      <c r="J18" s="92">
        <f>IF(ISERROR(I18/H18),0,I18/H18)</f>
        <v>7.681173795850375E-08</v>
      </c>
    </row>
    <row r="19" spans="1:10" ht="13.5" thickBot="1">
      <c r="A19" s="85" t="s">
        <v>70</v>
      </c>
      <c r="B19" s="86" t="s">
        <v>71</v>
      </c>
      <c r="C19" s="35">
        <v>50495.49</v>
      </c>
      <c r="D19" s="35">
        <v>49958.31</v>
      </c>
      <c r="E19" s="87">
        <f>D19-C19</f>
        <v>-537.1800000000003</v>
      </c>
      <c r="F19" s="88">
        <f>IF(ISERROR(E19/D19),0,E19/D19)</f>
        <v>-0.010752565489104821</v>
      </c>
      <c r="G19" s="35">
        <v>537186.02</v>
      </c>
      <c r="H19" s="35">
        <v>537185.99</v>
      </c>
      <c r="I19" s="87">
        <f>H19-G19</f>
        <v>-0.030000000027939677</v>
      </c>
      <c r="J19" s="88">
        <f>IF(ISERROR(I19/H19),0,I19/H19)</f>
        <v>-5.584657937177341E-08</v>
      </c>
    </row>
    <row r="20" spans="1:10" ht="13.5" thickBot="1">
      <c r="A20" s="89" t="s">
        <v>72</v>
      </c>
      <c r="B20" s="90" t="s">
        <v>73</v>
      </c>
      <c r="C20" s="20">
        <v>29953.58</v>
      </c>
      <c r="D20" s="20">
        <v>29634.92</v>
      </c>
      <c r="E20" s="91">
        <f>D20-C20</f>
        <v>-318.6600000000035</v>
      </c>
      <c r="F20" s="92">
        <f>IF(ISERROR(E20/D20),0,E20/D20)</f>
        <v>-0.010752855077725991</v>
      </c>
      <c r="G20" s="20">
        <v>318655</v>
      </c>
      <c r="H20" s="20">
        <v>318655.02</v>
      </c>
      <c r="I20" s="91">
        <f>H20-G20</f>
        <v>0.02000000001862645</v>
      </c>
      <c r="J20" s="92">
        <f>IF(ISERROR(I20/H20),0,I20/H20)</f>
        <v>6.276380023332583E-08</v>
      </c>
    </row>
    <row r="21" spans="1:10" ht="12.75">
      <c r="A21" s="36" t="s">
        <v>28</v>
      </c>
      <c r="B21" s="36" t="s">
        <v>134</v>
      </c>
      <c r="C21" s="93">
        <f aca="true" t="shared" si="1" ref="C21:H21">SUM(C16:C20)</f>
        <v>233146.14</v>
      </c>
      <c r="D21" s="93">
        <f t="shared" si="1"/>
        <v>230665.88</v>
      </c>
      <c r="E21" s="93">
        <f>D21-C21</f>
        <v>-2480.2600000000093</v>
      </c>
      <c r="F21" s="94">
        <f>IF(ISERROR(E21/D21),0,E21/D21)</f>
        <v>-0.010752608925082502</v>
      </c>
      <c r="G21" s="93">
        <f t="shared" si="1"/>
        <v>2480277.9699999997</v>
      </c>
      <c r="H21" s="93">
        <f t="shared" si="1"/>
        <v>2480278.06</v>
      </c>
      <c r="I21" s="93">
        <f>H21-G21</f>
        <v>0.09000000031664968</v>
      </c>
      <c r="J21" s="94">
        <f>IF(ISERROR(I21/H21),0,I21/H21)</f>
        <v>3.6286254258383304E-08</v>
      </c>
    </row>
    <row r="22" ht="3" customHeight="1">
      <c r="A22" s="95"/>
    </row>
    <row r="23" spans="1:10" ht="12.75">
      <c r="A23" s="5" t="s">
        <v>74</v>
      </c>
      <c r="B23" s="5"/>
      <c r="C23" s="96">
        <f aca="true" t="shared" si="2" ref="C23:H23">REV_Total-COS_Total</f>
        <v>366066.56999999995</v>
      </c>
      <c r="D23" s="96">
        <f t="shared" si="2"/>
        <v>362172.22</v>
      </c>
      <c r="E23" s="96">
        <f>C23-D23</f>
        <v>3894.3499999999767</v>
      </c>
      <c r="F23" s="97">
        <f>IF(ISERROR(E23/D23),0,E23/D23)</f>
        <v>0.010752757348423844</v>
      </c>
      <c r="G23" s="96">
        <f t="shared" si="2"/>
        <v>3894325.0200000005</v>
      </c>
      <c r="H23" s="96">
        <f t="shared" si="2"/>
        <v>3894324.849999999</v>
      </c>
      <c r="I23" s="96">
        <f>G23-H23</f>
        <v>0.17000000132247806</v>
      </c>
      <c r="J23" s="97">
        <f>IF(ISERROR(I23/H23),0,I23/H23)</f>
        <v>4.365326670744432E-08</v>
      </c>
    </row>
    <row r="24" ht="1.5" customHeight="1">
      <c r="A24" s="95"/>
    </row>
    <row r="25" spans="1:2" ht="12.75">
      <c r="A25" s="15" t="s">
        <v>135</v>
      </c>
      <c r="B25" s="15"/>
    </row>
    <row r="26" spans="1:10" ht="13.5" thickBot="1">
      <c r="A26" s="85" t="s">
        <v>76</v>
      </c>
      <c r="B26" s="86" t="s">
        <v>77</v>
      </c>
      <c r="C26" s="35">
        <v>-149685.48</v>
      </c>
      <c r="D26" s="35">
        <v>-148093.12</v>
      </c>
      <c r="E26" s="87">
        <f aca="true" t="shared" si="3" ref="E26:E36">D26-C26</f>
        <v>1592.3600000000151</v>
      </c>
      <c r="F26" s="88">
        <f aca="true" t="shared" si="4" ref="F26:F36">IF(ISERROR(E26/D26),0,E26/D26)</f>
        <v>-0.01075242388032621</v>
      </c>
      <c r="G26" s="35">
        <v>-1592398.94</v>
      </c>
      <c r="H26" s="35">
        <v>-1592399.03</v>
      </c>
      <c r="I26" s="87">
        <f aca="true" t="shared" si="5" ref="I26:I36">H26-G26</f>
        <v>-0.09000000008381903</v>
      </c>
      <c r="J26" s="88">
        <f aca="true" t="shared" si="6" ref="J26:J36">IF(ISERROR(I26/H26),0,I26/H26)</f>
        <v>5.651849717832284E-08</v>
      </c>
    </row>
    <row r="27" spans="1:10" ht="13.5" thickBot="1">
      <c r="A27" s="89" t="s">
        <v>78</v>
      </c>
      <c r="B27" s="90" t="s">
        <v>79</v>
      </c>
      <c r="C27" s="20">
        <v>5310.53</v>
      </c>
      <c r="D27" s="20">
        <v>5254.03</v>
      </c>
      <c r="E27" s="91">
        <f t="shared" si="3"/>
        <v>-56.5</v>
      </c>
      <c r="F27" s="92">
        <f t="shared" si="4"/>
        <v>-0.010753650055290892</v>
      </c>
      <c r="G27" s="20">
        <v>56494.98</v>
      </c>
      <c r="H27" s="20">
        <v>56495.01</v>
      </c>
      <c r="I27" s="91">
        <f t="shared" si="5"/>
        <v>0.029999999998835847</v>
      </c>
      <c r="J27" s="92">
        <f t="shared" si="6"/>
        <v>5.31020350272278E-07</v>
      </c>
    </row>
    <row r="28" spans="1:10" ht="13.5" thickBot="1">
      <c r="A28" s="85" t="s">
        <v>80</v>
      </c>
      <c r="B28" s="86" t="s">
        <v>136</v>
      </c>
      <c r="C28" s="35">
        <v>8212.25</v>
      </c>
      <c r="D28" s="35">
        <v>8124.84</v>
      </c>
      <c r="E28" s="87">
        <f t="shared" si="3"/>
        <v>-87.40999999999985</v>
      </c>
      <c r="F28" s="88">
        <f t="shared" si="4"/>
        <v>-0.010758365703201522</v>
      </c>
      <c r="G28" s="35">
        <v>87363.95</v>
      </c>
      <c r="H28" s="35">
        <v>87364</v>
      </c>
      <c r="I28" s="87">
        <f t="shared" si="5"/>
        <v>0.05000000000291038</v>
      </c>
      <c r="J28" s="88">
        <f t="shared" si="6"/>
        <v>5.723181173356347E-07</v>
      </c>
    </row>
    <row r="29" spans="1:10" ht="13.5" thickBot="1">
      <c r="A29" s="89" t="s">
        <v>82</v>
      </c>
      <c r="B29" s="90" t="s">
        <v>137</v>
      </c>
      <c r="C29" s="20">
        <v>23107.36</v>
      </c>
      <c r="D29" s="20">
        <v>22861.52</v>
      </c>
      <c r="E29" s="91">
        <f t="shared" si="3"/>
        <v>-245.84000000000015</v>
      </c>
      <c r="F29" s="92">
        <f t="shared" si="4"/>
        <v>-0.010753440716102873</v>
      </c>
      <c r="G29" s="20">
        <v>245823</v>
      </c>
      <c r="H29" s="20">
        <v>245823.02</v>
      </c>
      <c r="I29" s="91">
        <f t="shared" si="5"/>
        <v>0.01999999998952262</v>
      </c>
      <c r="J29" s="92">
        <f t="shared" si="6"/>
        <v>8.135934539215499E-08</v>
      </c>
    </row>
    <row r="30" spans="1:10" ht="13.5" thickBot="1">
      <c r="A30" s="85" t="s">
        <v>84</v>
      </c>
      <c r="B30" s="86" t="s">
        <v>138</v>
      </c>
      <c r="C30" s="35">
        <v>25722.16</v>
      </c>
      <c r="D30" s="35">
        <v>25448.52</v>
      </c>
      <c r="E30" s="87">
        <f t="shared" si="3"/>
        <v>-273.6399999999994</v>
      </c>
      <c r="F30" s="88">
        <f t="shared" si="4"/>
        <v>-0.010752688172042987</v>
      </c>
      <c r="G30" s="35">
        <v>273640</v>
      </c>
      <c r="H30" s="35">
        <v>273640</v>
      </c>
      <c r="I30" s="87">
        <f t="shared" si="5"/>
        <v>0</v>
      </c>
      <c r="J30" s="88">
        <f t="shared" si="6"/>
        <v>0</v>
      </c>
    </row>
    <row r="31" spans="1:10" ht="13.5" thickBot="1">
      <c r="A31" s="89" t="s">
        <v>94</v>
      </c>
      <c r="B31" s="90" t="s">
        <v>95</v>
      </c>
      <c r="C31" s="20">
        <v>6893.96</v>
      </c>
      <c r="D31" s="20">
        <v>6820.62</v>
      </c>
      <c r="E31" s="91">
        <f t="shared" si="3"/>
        <v>-73.34000000000015</v>
      </c>
      <c r="F31" s="92">
        <f t="shared" si="4"/>
        <v>-0.010752688172043032</v>
      </c>
      <c r="G31" s="20">
        <v>73340</v>
      </c>
      <c r="H31" s="20">
        <v>73340</v>
      </c>
      <c r="I31" s="91">
        <f t="shared" si="5"/>
        <v>0</v>
      </c>
      <c r="J31" s="92">
        <f t="shared" si="6"/>
        <v>0</v>
      </c>
    </row>
    <row r="32" spans="1:10" ht="13.5" thickBot="1">
      <c r="A32" s="85" t="s">
        <v>86</v>
      </c>
      <c r="B32" s="86" t="s">
        <v>139</v>
      </c>
      <c r="C32" s="35">
        <v>10919.71</v>
      </c>
      <c r="D32" s="35">
        <v>10803.53</v>
      </c>
      <c r="E32" s="87">
        <f t="shared" si="3"/>
        <v>-116.17999999999847</v>
      </c>
      <c r="F32" s="88">
        <f t="shared" si="4"/>
        <v>-0.010753892477736301</v>
      </c>
      <c r="G32" s="35">
        <v>116166.97</v>
      </c>
      <c r="H32" s="35">
        <v>116166.99</v>
      </c>
      <c r="I32" s="87">
        <f t="shared" si="5"/>
        <v>0.020000000004074536</v>
      </c>
      <c r="J32" s="88">
        <f t="shared" si="6"/>
        <v>1.721659483823635E-07</v>
      </c>
    </row>
    <row r="33" spans="1:10" ht="13.5" thickBot="1">
      <c r="A33" s="89" t="s">
        <v>88</v>
      </c>
      <c r="B33" s="90" t="s">
        <v>89</v>
      </c>
      <c r="C33" s="20">
        <v>26420.49</v>
      </c>
      <c r="D33" s="20">
        <v>26139.43</v>
      </c>
      <c r="E33" s="91">
        <f t="shared" si="3"/>
        <v>-281.0600000000013</v>
      </c>
      <c r="F33" s="92">
        <f t="shared" si="4"/>
        <v>-0.010752338516945523</v>
      </c>
      <c r="G33" s="20">
        <v>281069.01</v>
      </c>
      <c r="H33" s="20">
        <v>281068.96</v>
      </c>
      <c r="I33" s="91">
        <f t="shared" si="5"/>
        <v>-0.04999999998835847</v>
      </c>
      <c r="J33" s="92">
        <f t="shared" si="6"/>
        <v>-1.778922866059577E-07</v>
      </c>
    </row>
    <row r="34" spans="1:10" ht="13.5" thickBot="1">
      <c r="A34" s="85" t="s">
        <v>90</v>
      </c>
      <c r="B34" s="86" t="s">
        <v>91</v>
      </c>
      <c r="C34" s="35">
        <v>18390.45</v>
      </c>
      <c r="D34" s="35">
        <v>18194.81</v>
      </c>
      <c r="E34" s="87">
        <f t="shared" si="3"/>
        <v>-195.63999999999942</v>
      </c>
      <c r="F34" s="88">
        <f t="shared" si="4"/>
        <v>-0.010752516789128296</v>
      </c>
      <c r="G34" s="35">
        <v>195643</v>
      </c>
      <c r="H34" s="35">
        <v>195642.99</v>
      </c>
      <c r="I34" s="87">
        <f t="shared" si="5"/>
        <v>-0.010000000009313226</v>
      </c>
      <c r="J34" s="88">
        <f t="shared" si="6"/>
        <v>-5.111351042689148E-08</v>
      </c>
    </row>
    <row r="35" spans="1:10" ht="13.5" thickBot="1">
      <c r="A35" s="89" t="s">
        <v>92</v>
      </c>
      <c r="B35" s="90" t="s">
        <v>93</v>
      </c>
      <c r="C35" s="20">
        <v>4373.16</v>
      </c>
      <c r="D35" s="20">
        <v>4326.64</v>
      </c>
      <c r="E35" s="91">
        <f t="shared" si="3"/>
        <v>-46.51999999999953</v>
      </c>
      <c r="F35" s="92">
        <f t="shared" si="4"/>
        <v>-0.010751992308118892</v>
      </c>
      <c r="G35" s="20">
        <v>46523</v>
      </c>
      <c r="H35" s="20">
        <v>46522.97</v>
      </c>
      <c r="I35" s="91">
        <f t="shared" si="5"/>
        <v>-0.029999999998835847</v>
      </c>
      <c r="J35" s="92">
        <f t="shared" si="6"/>
        <v>-6.448427518457193E-07</v>
      </c>
    </row>
    <row r="36" spans="1:10" ht="12.75">
      <c r="A36" s="36" t="s">
        <v>28</v>
      </c>
      <c r="B36" s="36" t="s">
        <v>135</v>
      </c>
      <c r="C36" s="93">
        <f aca="true" t="shared" si="7" ref="C36:H36">SUM(C25:C35)</f>
        <v>-20335.410000000003</v>
      </c>
      <c r="D36" s="93">
        <f t="shared" si="7"/>
        <v>-20119.179999999997</v>
      </c>
      <c r="E36" s="93">
        <f t="shared" si="3"/>
        <v>216.23000000000684</v>
      </c>
      <c r="F36" s="94">
        <f t="shared" si="4"/>
        <v>-0.010747455910231275</v>
      </c>
      <c r="G36" s="93">
        <f t="shared" si="7"/>
        <v>-216335.03000000003</v>
      </c>
      <c r="H36" s="93">
        <f t="shared" si="7"/>
        <v>-216335.09</v>
      </c>
      <c r="I36" s="93">
        <f t="shared" si="5"/>
        <v>-0.05999999996856786</v>
      </c>
      <c r="J36" s="94">
        <f t="shared" si="6"/>
        <v>2.7734751661678125E-07</v>
      </c>
    </row>
    <row r="37" ht="1.5" customHeight="1">
      <c r="A37" s="95"/>
    </row>
    <row r="38" spans="1:2" ht="12.75">
      <c r="A38" s="15" t="s">
        <v>140</v>
      </c>
      <c r="B38" s="15"/>
    </row>
    <row r="39" spans="1:10" ht="13.5" thickBot="1">
      <c r="A39" s="85" t="s">
        <v>141</v>
      </c>
      <c r="B39" s="86" t="s">
        <v>142</v>
      </c>
      <c r="C39" s="35">
        <v>0</v>
      </c>
      <c r="D39" s="35">
        <v>0</v>
      </c>
      <c r="E39" s="87">
        <v>0</v>
      </c>
      <c r="F39" s="88">
        <f>IF(ISERROR(E39/D39),0,E39/D39)</f>
        <v>0</v>
      </c>
      <c r="G39" s="35">
        <v>0</v>
      </c>
      <c r="H39" s="35">
        <v>0</v>
      </c>
      <c r="I39" s="87">
        <v>0</v>
      </c>
      <c r="J39" s="88">
        <f>IF(ISERROR(I39/H39),0,I39/H39)</f>
        <v>0</v>
      </c>
    </row>
    <row r="40" spans="1:10" ht="12.75">
      <c r="A40" s="98" t="s">
        <v>28</v>
      </c>
      <c r="B40" s="98" t="s">
        <v>140</v>
      </c>
      <c r="C40" s="99">
        <f aca="true" t="shared" si="8" ref="C40:I40">SUM(C38:C39)</f>
        <v>0</v>
      </c>
      <c r="D40" s="99">
        <f t="shared" si="8"/>
        <v>0</v>
      </c>
      <c r="E40" s="99">
        <f t="shared" si="8"/>
        <v>0</v>
      </c>
      <c r="F40" s="100">
        <f>IF(ISERROR(E40/D40),0,E40/D40)</f>
        <v>0</v>
      </c>
      <c r="G40" s="99">
        <f t="shared" si="8"/>
        <v>0</v>
      </c>
      <c r="H40" s="99">
        <f t="shared" si="8"/>
        <v>0</v>
      </c>
      <c r="I40" s="99">
        <f t="shared" si="8"/>
        <v>0</v>
      </c>
      <c r="J40" s="100">
        <f>IF(ISERROR(I40/H40),0,I40/H40)</f>
        <v>0</v>
      </c>
    </row>
    <row r="41" ht="1.5" customHeight="1"/>
    <row r="42" spans="1:2" ht="12.75">
      <c r="A42" s="15" t="s">
        <v>143</v>
      </c>
      <c r="B42" s="15"/>
    </row>
    <row r="43" spans="1:10" ht="13.5" thickBot="1">
      <c r="A43" s="85" t="s">
        <v>141</v>
      </c>
      <c r="B43" s="86" t="s">
        <v>142</v>
      </c>
      <c r="C43" s="35">
        <v>0</v>
      </c>
      <c r="D43" s="35">
        <v>0</v>
      </c>
      <c r="E43" s="87">
        <v>0</v>
      </c>
      <c r="F43" s="88">
        <f>IF(ISERROR(E43/D43),0,E43/D43)</f>
        <v>0</v>
      </c>
      <c r="G43" s="35">
        <v>0</v>
      </c>
      <c r="H43" s="35">
        <v>0</v>
      </c>
      <c r="I43" s="87">
        <v>0</v>
      </c>
      <c r="J43" s="88">
        <f>IF(ISERROR(I43/H43),0,I43/H43)</f>
        <v>0</v>
      </c>
    </row>
    <row r="44" spans="1:10" ht="12.75">
      <c r="A44" s="98" t="s">
        <v>28</v>
      </c>
      <c r="B44" s="98" t="s">
        <v>143</v>
      </c>
      <c r="C44" s="99">
        <f aca="true" t="shared" si="9" ref="C44:I44">SUM(C42:C43)</f>
        <v>0</v>
      </c>
      <c r="D44" s="99">
        <f t="shared" si="9"/>
        <v>0</v>
      </c>
      <c r="E44" s="99">
        <f t="shared" si="9"/>
        <v>0</v>
      </c>
      <c r="F44" s="100">
        <f>IF(ISERROR(E44/D44),0,E44/D44)</f>
        <v>0</v>
      </c>
      <c r="G44" s="99">
        <f t="shared" si="9"/>
        <v>0</v>
      </c>
      <c r="H44" s="99">
        <f t="shared" si="9"/>
        <v>0</v>
      </c>
      <c r="I44" s="99">
        <f t="shared" si="9"/>
        <v>0</v>
      </c>
      <c r="J44" s="100">
        <f>IF(ISERROR(I44/H44),0,I44/H44)</f>
        <v>0</v>
      </c>
    </row>
    <row r="45" ht="3" customHeight="1"/>
    <row r="46" spans="1:10" ht="12.75">
      <c r="A46" s="5" t="s">
        <v>144</v>
      </c>
      <c r="B46" s="5"/>
      <c r="C46" s="96">
        <f aca="true" t="shared" si="10" ref="C46:H46">(Gross_Profit_Calc+OI_Total)-OOE_Total-OE_Total</f>
        <v>386401.98</v>
      </c>
      <c r="D46" s="96">
        <f t="shared" si="10"/>
        <v>382291.39999999997</v>
      </c>
      <c r="E46" s="96">
        <f>C46-D46</f>
        <v>4110.580000000016</v>
      </c>
      <c r="F46" s="97">
        <f>IF(ISERROR(E46/D46),0,E46/D46)</f>
        <v>0.010752478345053058</v>
      </c>
      <c r="G46" s="96">
        <f t="shared" si="10"/>
        <v>4110660.0500000007</v>
      </c>
      <c r="H46" s="96">
        <f t="shared" si="10"/>
        <v>4110659.939999999</v>
      </c>
      <c r="I46" s="96">
        <f>G46-H46</f>
        <v>0.11000000173225999</v>
      </c>
      <c r="J46" s="97">
        <f>IF(ISERROR(I46/H46),0,I46/H46)</f>
        <v>2.675969390264377E-08</v>
      </c>
    </row>
    <row r="47" ht="1.5" customHeight="1"/>
    <row r="48" spans="1:2" ht="12.75">
      <c r="A48" s="15" t="s">
        <v>145</v>
      </c>
      <c r="B48" s="15"/>
    </row>
    <row r="49" spans="1:10" ht="13.5" thickBot="1">
      <c r="A49" s="85" t="s">
        <v>96</v>
      </c>
      <c r="B49" s="86" t="s">
        <v>97</v>
      </c>
      <c r="C49" s="35">
        <v>21300.33</v>
      </c>
      <c r="D49" s="35">
        <v>21073.77</v>
      </c>
      <c r="E49" s="87">
        <f>D49-C49</f>
        <v>-226.5600000000013</v>
      </c>
      <c r="F49" s="88">
        <f>IF(ISERROR(E49/D49),0,E49/D49)</f>
        <v>-0.010750805385083035</v>
      </c>
      <c r="G49" s="35">
        <v>226600.11</v>
      </c>
      <c r="H49" s="35">
        <v>226599.99</v>
      </c>
      <c r="I49" s="87">
        <f>H49-G49</f>
        <v>-0.11999999999534339</v>
      </c>
      <c r="J49" s="88">
        <f>IF(ISERROR(I49/H49),0,I49/H49)</f>
        <v>-5.295675432083796E-07</v>
      </c>
    </row>
    <row r="50" spans="1:10" ht="12.75">
      <c r="A50" s="98" t="s">
        <v>28</v>
      </c>
      <c r="B50" s="98" t="s">
        <v>145</v>
      </c>
      <c r="C50" s="99">
        <f aca="true" t="shared" si="11" ref="C50:H50">SUM(C48:C49)</f>
        <v>21300.33</v>
      </c>
      <c r="D50" s="99">
        <f t="shared" si="11"/>
        <v>21073.77</v>
      </c>
      <c r="E50" s="99">
        <f>D50-C50</f>
        <v>-226.5600000000013</v>
      </c>
      <c r="F50" s="100">
        <f>IF(ISERROR(E50/D50),0,E50/D50)</f>
        <v>-0.010750805385083035</v>
      </c>
      <c r="G50" s="99">
        <f t="shared" si="11"/>
        <v>226600.11</v>
      </c>
      <c r="H50" s="99">
        <f t="shared" si="11"/>
        <v>226599.99</v>
      </c>
      <c r="I50" s="99">
        <f>H50-G50</f>
        <v>-0.11999999999534339</v>
      </c>
      <c r="J50" s="100">
        <f>IF(ISERROR(I50/H50),0,I50/H50)</f>
        <v>-5.295675432083796E-07</v>
      </c>
    </row>
    <row r="51" ht="3" customHeight="1">
      <c r="A51" s="95"/>
    </row>
    <row r="52" spans="1:10" ht="12.75">
      <c r="A52" s="5" t="s">
        <v>146</v>
      </c>
      <c r="B52" s="5"/>
      <c r="C52" s="96">
        <f aca="true" t="shared" si="12" ref="C52:H52">NetIncome_before_Tax-IT_Total</f>
        <v>365101.64999999997</v>
      </c>
      <c r="D52" s="96">
        <f t="shared" si="12"/>
        <v>361217.62999999995</v>
      </c>
      <c r="E52" s="96">
        <f>C52-D52</f>
        <v>3884.0200000000186</v>
      </c>
      <c r="F52" s="97">
        <f>IF(ISERROR(E52/D52),0,E52/D52)</f>
        <v>0.01075257594708215</v>
      </c>
      <c r="G52" s="96">
        <f t="shared" si="12"/>
        <v>3884059.940000001</v>
      </c>
      <c r="H52" s="96">
        <f t="shared" si="12"/>
        <v>3884059.9499999993</v>
      </c>
      <c r="I52" s="96">
        <f>G52-H52</f>
        <v>-0.00999999837949872</v>
      </c>
      <c r="J52" s="97">
        <f>IF(ISERROR(I52/H52),0,I52/H52)</f>
        <v>-2.5746251366430948E-09</v>
      </c>
    </row>
    <row r="54" ht="12.75">
      <c r="A54" s="81" t="s">
        <v>312</v>
      </c>
    </row>
  </sheetData>
  <sheetProtection/>
  <printOptions/>
  <pageMargins left="0.37" right="0.25" top="0.72" bottom="1" header="0.5" footer="0.5"/>
  <pageSetup fitToWidth="2" horizontalDpi="300" verticalDpi="300" orientation="portrait" r:id="rId2"/>
  <headerFooter alignWithMargins="0">
    <oddFooter>&amp;C© Copyright, 2003, JaxWorks, All Rights Reserved.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421875" style="81" bestFit="1" customWidth="1"/>
    <col min="2" max="2" width="25.28125" style="81" bestFit="1" customWidth="1"/>
    <col min="3" max="5" width="15.00390625" style="77" bestFit="1" customWidth="1"/>
    <col min="6" max="6" width="16.7109375" style="77" bestFit="1" customWidth="1"/>
    <col min="7" max="7" width="15.00390625" style="77" bestFit="1" customWidth="1"/>
    <col min="8" max="9" width="16.140625" style="77" bestFit="1" customWidth="1"/>
    <col min="10" max="10" width="17.28125" style="77" bestFit="1" customWidth="1"/>
    <col min="11" max="11" width="15.00390625" style="77" bestFit="1" customWidth="1"/>
    <col min="12" max="13" width="16.140625" style="77" bestFit="1" customWidth="1"/>
    <col min="14" max="14" width="17.28125" style="77" bestFit="1" customWidth="1"/>
    <col min="15" max="17" width="15.00390625" style="77" bestFit="1" customWidth="1"/>
    <col min="18" max="19" width="17.28125" style="77" bestFit="1" customWidth="1"/>
    <col min="20" max="188" width="17.421875" style="0" customWidth="1"/>
    <col min="189" max="237" width="11.00390625" style="0" customWidth="1"/>
    <col min="238" max="238" width="12.00390625" style="0" customWidth="1"/>
    <col min="239" max="239" width="13.57421875" style="0" customWidth="1"/>
    <col min="240" max="240" width="11.00390625" style="0" customWidth="1"/>
    <col min="241" max="241" width="10.421875" style="0" customWidth="1"/>
    <col min="242" max="242" width="12.00390625" style="0" customWidth="1"/>
    <col min="243" max="243" width="12.57421875" style="0" customWidth="1"/>
  </cols>
  <sheetData>
    <row r="1" spans="1:19" s="79" customFormat="1" ht="12.75">
      <c r="A1" s="76"/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s="79" customFormat="1" ht="12.75">
      <c r="A2" s="76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ht="12.75"/>
    <row r="4" ht="12.75"/>
    <row r="5" spans="1:2" ht="12.75">
      <c r="A5" s="5" t="s">
        <v>0</v>
      </c>
      <c r="B5" s="80" t="s">
        <v>127</v>
      </c>
    </row>
    <row r="6" ht="3.75" customHeight="1"/>
    <row r="7" spans="1:19" ht="12.75">
      <c r="A7" s="41" t="s">
        <v>3</v>
      </c>
      <c r="B7" s="82" t="s">
        <v>4</v>
      </c>
      <c r="C7" s="83">
        <v>36251</v>
      </c>
      <c r="D7" s="83">
        <v>36281</v>
      </c>
      <c r="E7" s="83">
        <v>36312</v>
      </c>
      <c r="F7" s="83" t="s">
        <v>128</v>
      </c>
      <c r="G7" s="83">
        <v>36342</v>
      </c>
      <c r="H7" s="83">
        <v>36373</v>
      </c>
      <c r="I7" s="83">
        <v>36404</v>
      </c>
      <c r="J7" s="83" t="s">
        <v>129</v>
      </c>
      <c r="K7" s="83">
        <v>36434</v>
      </c>
      <c r="L7" s="83">
        <v>36465</v>
      </c>
      <c r="M7" s="83">
        <v>36495</v>
      </c>
      <c r="N7" s="83" t="s">
        <v>130</v>
      </c>
      <c r="O7" s="83">
        <v>36526</v>
      </c>
      <c r="P7" s="83">
        <v>36557</v>
      </c>
      <c r="Q7" s="83">
        <v>36586</v>
      </c>
      <c r="R7" s="83" t="s">
        <v>131</v>
      </c>
      <c r="S7" s="83" t="s">
        <v>28</v>
      </c>
    </row>
    <row r="8" ht="1.5" customHeight="1"/>
    <row r="9" spans="1:2" ht="12.75">
      <c r="A9" s="15" t="s">
        <v>56</v>
      </c>
      <c r="B9" s="15"/>
    </row>
    <row r="10" spans="1:19" ht="13.5" thickBot="1">
      <c r="A10" s="86" t="s">
        <v>57</v>
      </c>
      <c r="B10" s="86" t="s">
        <v>58</v>
      </c>
      <c r="C10" s="35">
        <v>174120.32</v>
      </c>
      <c r="D10" s="35">
        <v>176572.72</v>
      </c>
      <c r="E10" s="35">
        <v>186382.32</v>
      </c>
      <c r="F10" s="87">
        <f>SUBTOTAL(9,C10:E10)</f>
        <v>537075.3600000001</v>
      </c>
      <c r="G10" s="35">
        <v>191287.13</v>
      </c>
      <c r="H10" s="35">
        <v>198644.31</v>
      </c>
      <c r="I10" s="35">
        <v>203549.13</v>
      </c>
      <c r="J10" s="87">
        <f>SUBTOTAL(9,G10:I10)</f>
        <v>593480.5700000001</v>
      </c>
      <c r="K10" s="35">
        <v>208453.92</v>
      </c>
      <c r="L10" s="35">
        <v>213358.7</v>
      </c>
      <c r="M10" s="35">
        <v>218263.52</v>
      </c>
      <c r="N10" s="87">
        <f>SUBTOTAL(9,K10:M10)</f>
        <v>640076.14</v>
      </c>
      <c r="O10" s="35">
        <v>223168.3</v>
      </c>
      <c r="P10" s="35">
        <v>228073.12</v>
      </c>
      <c r="Q10" s="35">
        <v>230525.51</v>
      </c>
      <c r="R10" s="87">
        <f>SUBTOTAL(9,O10:Q10)</f>
        <v>681766.9299999999</v>
      </c>
      <c r="S10" s="87">
        <f>SUBTOTAL(9,C10:R10)</f>
        <v>2452399</v>
      </c>
    </row>
    <row r="11" spans="1:19" ht="13.5" thickBot="1">
      <c r="A11" s="90" t="s">
        <v>59</v>
      </c>
      <c r="B11" s="90" t="s">
        <v>60</v>
      </c>
      <c r="C11" s="20">
        <v>104469.32</v>
      </c>
      <c r="D11" s="20">
        <v>105940.75</v>
      </c>
      <c r="E11" s="20">
        <v>111826.35</v>
      </c>
      <c r="F11" s="91">
        <f>SUBTOTAL(9,C11:E11)</f>
        <v>322236.42000000004</v>
      </c>
      <c r="G11" s="20">
        <v>114769.13</v>
      </c>
      <c r="H11" s="20">
        <v>119183.31</v>
      </c>
      <c r="I11" s="20">
        <v>122126.09</v>
      </c>
      <c r="J11" s="91">
        <f>SUBTOTAL(9,G11:I11)</f>
        <v>356078.53</v>
      </c>
      <c r="K11" s="20">
        <v>125068.92</v>
      </c>
      <c r="L11" s="20">
        <v>128011.7</v>
      </c>
      <c r="M11" s="20">
        <v>130954.52</v>
      </c>
      <c r="N11" s="91">
        <f>SUBTOTAL(9,K11:M11)</f>
        <v>384035.14</v>
      </c>
      <c r="O11" s="20">
        <v>133897.3</v>
      </c>
      <c r="P11" s="20">
        <v>136840.12</v>
      </c>
      <c r="Q11" s="20">
        <v>138311.51</v>
      </c>
      <c r="R11" s="91">
        <f>SUBTOTAL(9,O11:Q11)</f>
        <v>409048.93</v>
      </c>
      <c r="S11" s="101">
        <f>SUBTOTAL(9,C11:R11)</f>
        <v>1471399.0200000003</v>
      </c>
    </row>
    <row r="12" spans="1:19" ht="13.5" thickBot="1">
      <c r="A12" s="86" t="s">
        <v>61</v>
      </c>
      <c r="B12" s="86" t="s">
        <v>62</v>
      </c>
      <c r="C12" s="35">
        <v>169781.37</v>
      </c>
      <c r="D12" s="35">
        <v>172172.66</v>
      </c>
      <c r="E12" s="35">
        <v>181737.81</v>
      </c>
      <c r="F12" s="87">
        <f>SUBTOTAL(9,C12:E12)</f>
        <v>523691.84</v>
      </c>
      <c r="G12" s="35">
        <v>186520.39</v>
      </c>
      <c r="H12" s="35">
        <v>193694.24</v>
      </c>
      <c r="I12" s="35">
        <v>198476.82</v>
      </c>
      <c r="J12" s="87">
        <f>SUBTOTAL(9,G12:I12)</f>
        <v>578691.45</v>
      </c>
      <c r="K12" s="35">
        <v>203259.39</v>
      </c>
      <c r="L12" s="35">
        <v>208041.97</v>
      </c>
      <c r="M12" s="35">
        <v>212824.55</v>
      </c>
      <c r="N12" s="87">
        <f>SUBTOTAL(9,K12:M12)</f>
        <v>624125.9099999999</v>
      </c>
      <c r="O12" s="35">
        <v>217607.11</v>
      </c>
      <c r="P12" s="35">
        <v>222389.69</v>
      </c>
      <c r="Q12" s="35">
        <v>224780.98</v>
      </c>
      <c r="R12" s="87">
        <f>SUBTOTAL(9,O12:Q12)</f>
        <v>664777.78</v>
      </c>
      <c r="S12" s="87">
        <f>SUBTOTAL(9,C12:R12)</f>
        <v>2391286.98</v>
      </c>
    </row>
    <row r="13" spans="1:19" ht="13.5" thickBot="1">
      <c r="A13" s="90" t="s">
        <v>63</v>
      </c>
      <c r="B13" s="90" t="s">
        <v>64</v>
      </c>
      <c r="C13" s="20">
        <v>4225.77</v>
      </c>
      <c r="D13" s="20">
        <v>4285.29</v>
      </c>
      <c r="E13" s="20">
        <v>4523.35</v>
      </c>
      <c r="F13" s="91">
        <f>SUBTOTAL(9,C13:E13)</f>
        <v>13034.410000000002</v>
      </c>
      <c r="G13" s="20">
        <v>4642.41</v>
      </c>
      <c r="H13" s="20">
        <v>4820.93</v>
      </c>
      <c r="I13" s="20">
        <v>4940</v>
      </c>
      <c r="J13" s="91">
        <f>SUBTOTAL(9,G13:I13)</f>
        <v>14403.34</v>
      </c>
      <c r="K13" s="20">
        <v>5059.03</v>
      </c>
      <c r="L13" s="20">
        <v>5178.06</v>
      </c>
      <c r="M13" s="20">
        <v>5297.14</v>
      </c>
      <c r="N13" s="91">
        <f>SUBTOTAL(9,K13:M13)</f>
        <v>15534.23</v>
      </c>
      <c r="O13" s="20">
        <v>5416.13</v>
      </c>
      <c r="P13" s="20">
        <v>5535.17</v>
      </c>
      <c r="Q13" s="20">
        <v>5594.71</v>
      </c>
      <c r="R13" s="91">
        <f>SUBTOTAL(9,O13:Q13)</f>
        <v>16546.01</v>
      </c>
      <c r="S13" s="101">
        <f>SUBTOTAL(9,C13:R13)</f>
        <v>59517.98999999999</v>
      </c>
    </row>
    <row r="14" spans="1:19" ht="12.75">
      <c r="A14" s="36" t="s">
        <v>28</v>
      </c>
      <c r="B14" s="36" t="s">
        <v>56</v>
      </c>
      <c r="C14" s="93">
        <f aca="true" t="shared" si="0" ref="C14:S14">SUM(C9:C13)</f>
        <v>452596.78</v>
      </c>
      <c r="D14" s="93">
        <f t="shared" si="0"/>
        <v>458971.42</v>
      </c>
      <c r="E14" s="93">
        <f t="shared" si="0"/>
        <v>484469.83</v>
      </c>
      <c r="F14" s="93">
        <f t="shared" si="0"/>
        <v>1396038.03</v>
      </c>
      <c r="G14" s="93">
        <f t="shared" si="0"/>
        <v>497219.06</v>
      </c>
      <c r="H14" s="93">
        <f t="shared" si="0"/>
        <v>516342.79</v>
      </c>
      <c r="I14" s="93">
        <f t="shared" si="0"/>
        <v>529092.04</v>
      </c>
      <c r="J14" s="93">
        <f t="shared" si="0"/>
        <v>1542653.8900000001</v>
      </c>
      <c r="K14" s="93">
        <f t="shared" si="0"/>
        <v>541841.26</v>
      </c>
      <c r="L14" s="93">
        <f t="shared" si="0"/>
        <v>554590.43</v>
      </c>
      <c r="M14" s="93">
        <f t="shared" si="0"/>
        <v>567339.73</v>
      </c>
      <c r="N14" s="93">
        <f t="shared" si="0"/>
        <v>1663771.42</v>
      </c>
      <c r="O14" s="93">
        <f t="shared" si="0"/>
        <v>580088.84</v>
      </c>
      <c r="P14" s="93">
        <f t="shared" si="0"/>
        <v>592838.1</v>
      </c>
      <c r="Q14" s="93">
        <f t="shared" si="0"/>
        <v>599212.71</v>
      </c>
      <c r="R14" s="93">
        <f t="shared" si="0"/>
        <v>1772139.65</v>
      </c>
      <c r="S14" s="93">
        <f t="shared" si="0"/>
        <v>6374602.99</v>
      </c>
    </row>
    <row r="15" ht="1.5" customHeight="1"/>
    <row r="16" spans="1:2" ht="12.75">
      <c r="A16" s="15" t="s">
        <v>134</v>
      </c>
      <c r="B16" s="15"/>
    </row>
    <row r="17" spans="1:19" ht="13.5" thickBot="1">
      <c r="A17" s="86" t="s">
        <v>66</v>
      </c>
      <c r="B17" s="86" t="s">
        <v>67</v>
      </c>
      <c r="C17" s="35">
        <v>50631.36</v>
      </c>
      <c r="D17" s="35">
        <v>51344.5</v>
      </c>
      <c r="E17" s="35">
        <v>54196.97</v>
      </c>
      <c r="F17" s="87">
        <f>SUBTOTAL(9,C17:E17)</f>
        <v>156172.83000000002</v>
      </c>
      <c r="G17" s="35">
        <v>55623.2</v>
      </c>
      <c r="H17" s="35">
        <v>57762.54</v>
      </c>
      <c r="I17" s="35">
        <v>59188.8</v>
      </c>
      <c r="J17" s="87">
        <f>SUBTOTAL(9,G17:I17)</f>
        <v>172574.53999999998</v>
      </c>
      <c r="K17" s="35">
        <v>60615.03</v>
      </c>
      <c r="L17" s="35">
        <v>62041.27</v>
      </c>
      <c r="M17" s="35">
        <v>63467.51</v>
      </c>
      <c r="N17" s="87">
        <f>SUBTOTAL(9,K17:M17)</f>
        <v>186123.81</v>
      </c>
      <c r="O17" s="35">
        <v>64893.73</v>
      </c>
      <c r="P17" s="35">
        <v>66319.97</v>
      </c>
      <c r="Q17" s="35">
        <v>67033.09</v>
      </c>
      <c r="R17" s="87">
        <f>SUBTOTAL(9,O17:Q17)</f>
        <v>198246.79</v>
      </c>
      <c r="S17" s="87">
        <f>SUBTOTAL(9,C17:R17)</f>
        <v>713117.97</v>
      </c>
    </row>
    <row r="18" spans="1:19" ht="13.5" thickBot="1">
      <c r="A18" s="90" t="s">
        <v>68</v>
      </c>
      <c r="B18" s="90" t="s">
        <v>69</v>
      </c>
      <c r="C18" s="20">
        <v>64703.63</v>
      </c>
      <c r="D18" s="20">
        <v>65614.98</v>
      </c>
      <c r="E18" s="20">
        <v>69260.25</v>
      </c>
      <c r="F18" s="91">
        <f>SUBTOTAL(9,C18:E18)</f>
        <v>199578.86</v>
      </c>
      <c r="G18" s="20">
        <v>71082.87</v>
      </c>
      <c r="H18" s="20">
        <v>73816.83</v>
      </c>
      <c r="I18" s="20">
        <v>75639.49</v>
      </c>
      <c r="J18" s="91">
        <f>SUBTOTAL(9,G18:I18)</f>
        <v>220539.19</v>
      </c>
      <c r="K18" s="20">
        <v>77462.12</v>
      </c>
      <c r="L18" s="20">
        <v>79284.74</v>
      </c>
      <c r="M18" s="20">
        <v>81107.4</v>
      </c>
      <c r="N18" s="91">
        <f>SUBTOTAL(9,K18:M18)</f>
        <v>237854.25999999998</v>
      </c>
      <c r="O18" s="20">
        <v>82930.01</v>
      </c>
      <c r="P18" s="20">
        <v>84752.68</v>
      </c>
      <c r="Q18" s="20">
        <v>85663.98</v>
      </c>
      <c r="R18" s="91">
        <f>SUBTOTAL(9,O18:Q18)</f>
        <v>253346.66999999998</v>
      </c>
      <c r="S18" s="101">
        <f>SUBTOTAL(9,C18:R18)</f>
        <v>911318.98</v>
      </c>
    </row>
    <row r="19" spans="1:19" ht="13.5" thickBot="1">
      <c r="A19" s="86" t="s">
        <v>70</v>
      </c>
      <c r="B19" s="86" t="s">
        <v>71</v>
      </c>
      <c r="C19" s="35">
        <v>38140.21</v>
      </c>
      <c r="D19" s="35">
        <v>38677.39</v>
      </c>
      <c r="E19" s="35">
        <v>40826.13</v>
      </c>
      <c r="F19" s="87">
        <f>SUBTOTAL(9,C19:E19)</f>
        <v>117643.73000000001</v>
      </c>
      <c r="G19" s="35">
        <v>41900.51</v>
      </c>
      <c r="H19" s="35">
        <v>43512.07</v>
      </c>
      <c r="I19" s="35">
        <v>44586.45</v>
      </c>
      <c r="J19" s="87">
        <f>SUBTOTAL(9,G19:I19)</f>
        <v>129999.03</v>
      </c>
      <c r="K19" s="35">
        <v>45660.81</v>
      </c>
      <c r="L19" s="35">
        <v>46735.17</v>
      </c>
      <c r="M19" s="35">
        <v>47809.55</v>
      </c>
      <c r="N19" s="87">
        <f>SUBTOTAL(9,K19:M19)</f>
        <v>140205.53</v>
      </c>
      <c r="O19" s="35">
        <v>48883.93</v>
      </c>
      <c r="P19" s="35">
        <v>49958.31</v>
      </c>
      <c r="Q19" s="35">
        <v>50495.49</v>
      </c>
      <c r="R19" s="87">
        <f>SUBTOTAL(9,O19:Q19)</f>
        <v>149337.72999999998</v>
      </c>
      <c r="S19" s="87">
        <f>SUBTOTAL(9,C19:R19)</f>
        <v>537186.02</v>
      </c>
    </row>
    <row r="20" spans="1:19" ht="13.5" thickBot="1">
      <c r="A20" s="90" t="s">
        <v>72</v>
      </c>
      <c r="B20" s="90" t="s">
        <v>73</v>
      </c>
      <c r="C20" s="20">
        <v>22624.51</v>
      </c>
      <c r="D20" s="20">
        <v>22943.17</v>
      </c>
      <c r="E20" s="20">
        <v>24217.77</v>
      </c>
      <c r="F20" s="91">
        <f>SUBTOTAL(9,C20:E20)</f>
        <v>69785.45</v>
      </c>
      <c r="G20" s="20">
        <v>24855.08</v>
      </c>
      <c r="H20" s="20">
        <v>25811.06</v>
      </c>
      <c r="I20" s="20">
        <v>26448.37</v>
      </c>
      <c r="J20" s="91">
        <f>SUBTOTAL(9,G20:I20)</f>
        <v>77114.51</v>
      </c>
      <c r="K20" s="20">
        <v>27085.66</v>
      </c>
      <c r="L20" s="20">
        <v>27722.98</v>
      </c>
      <c r="M20" s="20">
        <v>28360.29</v>
      </c>
      <c r="N20" s="91">
        <f>SUBTOTAL(9,K20:M20)</f>
        <v>83168.93</v>
      </c>
      <c r="O20" s="20">
        <v>28997.61</v>
      </c>
      <c r="P20" s="20">
        <v>29634.92</v>
      </c>
      <c r="Q20" s="20">
        <v>29953.58</v>
      </c>
      <c r="R20" s="91">
        <f>SUBTOTAL(9,O20:Q20)</f>
        <v>88586.11</v>
      </c>
      <c r="S20" s="101">
        <f>SUBTOTAL(9,C20:R20)</f>
        <v>318655</v>
      </c>
    </row>
    <row r="21" spans="1:19" ht="12.75">
      <c r="A21" s="36" t="s">
        <v>28</v>
      </c>
      <c r="B21" s="36" t="s">
        <v>134</v>
      </c>
      <c r="C21" s="93">
        <f aca="true" t="shared" si="1" ref="C21:S21">SUM(C16:C20)</f>
        <v>176099.71</v>
      </c>
      <c r="D21" s="93">
        <f t="shared" si="1"/>
        <v>178580.03999999998</v>
      </c>
      <c r="E21" s="93">
        <f t="shared" si="1"/>
        <v>188501.12</v>
      </c>
      <c r="F21" s="93">
        <f t="shared" si="1"/>
        <v>543180.87</v>
      </c>
      <c r="G21" s="93">
        <f t="shared" si="1"/>
        <v>193461.65999999997</v>
      </c>
      <c r="H21" s="93">
        <f t="shared" si="1"/>
        <v>200902.5</v>
      </c>
      <c r="I21" s="93">
        <f t="shared" si="1"/>
        <v>205863.11</v>
      </c>
      <c r="J21" s="93">
        <f t="shared" si="1"/>
        <v>600227.27</v>
      </c>
      <c r="K21" s="93">
        <f t="shared" si="1"/>
        <v>210823.62</v>
      </c>
      <c r="L21" s="93">
        <f t="shared" si="1"/>
        <v>215784.16</v>
      </c>
      <c r="M21" s="93">
        <f t="shared" si="1"/>
        <v>220744.75000000003</v>
      </c>
      <c r="N21" s="93">
        <f t="shared" si="1"/>
        <v>647352.53</v>
      </c>
      <c r="O21" s="93">
        <f t="shared" si="1"/>
        <v>225705.27999999997</v>
      </c>
      <c r="P21" s="93">
        <f t="shared" si="1"/>
        <v>230665.88</v>
      </c>
      <c r="Q21" s="93">
        <f t="shared" si="1"/>
        <v>233146.14</v>
      </c>
      <c r="R21" s="93">
        <f t="shared" si="1"/>
        <v>689517.2999999999</v>
      </c>
      <c r="S21" s="93">
        <f t="shared" si="1"/>
        <v>2480277.9699999997</v>
      </c>
    </row>
    <row r="22" ht="3" customHeight="1"/>
    <row r="23" spans="1:19" ht="12.75">
      <c r="A23" s="5" t="s">
        <v>74</v>
      </c>
      <c r="B23" s="5"/>
      <c r="C23" s="96">
        <f aca="true" t="shared" si="2" ref="C23:S23">REV_Total-COS_Total</f>
        <v>276497.07000000007</v>
      </c>
      <c r="D23" s="96">
        <f t="shared" si="2"/>
        <v>280391.38</v>
      </c>
      <c r="E23" s="96">
        <f t="shared" si="2"/>
        <v>295968.71</v>
      </c>
      <c r="F23" s="96">
        <f t="shared" si="2"/>
        <v>852857.16</v>
      </c>
      <c r="G23" s="96">
        <f t="shared" si="2"/>
        <v>303757.4</v>
      </c>
      <c r="H23" s="96">
        <f t="shared" si="2"/>
        <v>315440.29</v>
      </c>
      <c r="I23" s="96">
        <f t="shared" si="2"/>
        <v>323228.93000000005</v>
      </c>
      <c r="J23" s="96">
        <f t="shared" si="2"/>
        <v>942426.6200000001</v>
      </c>
      <c r="K23" s="96">
        <f t="shared" si="2"/>
        <v>331017.64</v>
      </c>
      <c r="L23" s="96">
        <f t="shared" si="2"/>
        <v>338806.27</v>
      </c>
      <c r="M23" s="96">
        <f t="shared" si="2"/>
        <v>346594.98</v>
      </c>
      <c r="N23" s="96">
        <f t="shared" si="2"/>
        <v>1016418.8899999999</v>
      </c>
      <c r="O23" s="96">
        <f t="shared" si="2"/>
        <v>354383.56</v>
      </c>
      <c r="P23" s="96">
        <f t="shared" si="2"/>
        <v>362172.22</v>
      </c>
      <c r="Q23" s="96">
        <f t="shared" si="2"/>
        <v>366066.56999999995</v>
      </c>
      <c r="R23" s="96">
        <f t="shared" si="2"/>
        <v>1082622.35</v>
      </c>
      <c r="S23" s="96">
        <f t="shared" si="2"/>
        <v>3894325.0200000005</v>
      </c>
    </row>
    <row r="24" ht="1.5" customHeight="1"/>
    <row r="25" spans="1:2" ht="12.75">
      <c r="A25" s="15" t="s">
        <v>135</v>
      </c>
      <c r="B25" s="15"/>
    </row>
    <row r="26" spans="1:19" ht="13.5" thickBot="1">
      <c r="A26" s="86" t="s">
        <v>76</v>
      </c>
      <c r="B26" s="86" t="s">
        <v>77</v>
      </c>
      <c r="C26" s="35">
        <v>-113060.32</v>
      </c>
      <c r="D26" s="35">
        <v>-114652.72</v>
      </c>
      <c r="E26" s="35">
        <v>-121022.32</v>
      </c>
      <c r="F26" s="87">
        <f aca="true" t="shared" si="3" ref="F26:F35">SUBTOTAL(9,C26:E26)</f>
        <v>-348735.36</v>
      </c>
      <c r="G26" s="35">
        <v>-124207.1</v>
      </c>
      <c r="H26" s="35">
        <v>-128984.31</v>
      </c>
      <c r="I26" s="35">
        <v>-132169.13</v>
      </c>
      <c r="J26" s="87">
        <f aca="true" t="shared" si="4" ref="J26:J35">SUBTOTAL(9,G26:I26)</f>
        <v>-385360.54000000004</v>
      </c>
      <c r="K26" s="35">
        <v>-135353.91</v>
      </c>
      <c r="L26" s="35">
        <v>-138538.74</v>
      </c>
      <c r="M26" s="35">
        <v>-141723.45</v>
      </c>
      <c r="N26" s="87">
        <f aca="true" t="shared" si="5" ref="N26:N35">SUBTOTAL(9,K26:M26)</f>
        <v>-415616.10000000003</v>
      </c>
      <c r="O26" s="35">
        <v>-144908.34</v>
      </c>
      <c r="P26" s="35">
        <v>-148093.12</v>
      </c>
      <c r="Q26" s="35">
        <v>-149685.48</v>
      </c>
      <c r="R26" s="87">
        <f aca="true" t="shared" si="6" ref="R26:R35">SUBTOTAL(9,O26:Q26)</f>
        <v>-442686.93999999994</v>
      </c>
      <c r="S26" s="87">
        <f aca="true" t="shared" si="7" ref="S26:S35">SUBTOTAL(9,C26:R26)</f>
        <v>-1592398.94</v>
      </c>
    </row>
    <row r="27" spans="1:19" ht="13.5" thickBot="1">
      <c r="A27" s="90" t="s">
        <v>78</v>
      </c>
      <c r="B27" s="90" t="s">
        <v>79</v>
      </c>
      <c r="C27" s="20">
        <v>4011.14</v>
      </c>
      <c r="D27" s="20">
        <v>4067.64</v>
      </c>
      <c r="E27" s="20">
        <v>4293.62</v>
      </c>
      <c r="F27" s="91">
        <f t="shared" si="3"/>
        <v>12372.4</v>
      </c>
      <c r="G27" s="20">
        <v>4406.61</v>
      </c>
      <c r="H27" s="20">
        <v>4576.09</v>
      </c>
      <c r="I27" s="20">
        <v>4689.08</v>
      </c>
      <c r="J27" s="91">
        <f t="shared" si="4"/>
        <v>13671.78</v>
      </c>
      <c r="K27" s="20">
        <v>4802.07</v>
      </c>
      <c r="L27" s="20">
        <v>4915.07</v>
      </c>
      <c r="M27" s="20">
        <v>5028.06</v>
      </c>
      <c r="N27" s="91">
        <f t="shared" si="5"/>
        <v>14745.2</v>
      </c>
      <c r="O27" s="20">
        <v>5141.04</v>
      </c>
      <c r="P27" s="20">
        <v>5254.03</v>
      </c>
      <c r="Q27" s="20">
        <v>5310.53</v>
      </c>
      <c r="R27" s="91">
        <f t="shared" si="6"/>
        <v>15705.599999999999</v>
      </c>
      <c r="S27" s="101">
        <f t="shared" si="7"/>
        <v>56494.979999999996</v>
      </c>
    </row>
    <row r="28" spans="1:19" ht="13.5" thickBot="1">
      <c r="A28" s="86" t="s">
        <v>80</v>
      </c>
      <c r="B28" s="86" t="s">
        <v>136</v>
      </c>
      <c r="C28" s="35">
        <v>6202.81</v>
      </c>
      <c r="D28" s="35">
        <v>6290.22</v>
      </c>
      <c r="E28" s="35">
        <v>6639.63</v>
      </c>
      <c r="F28" s="87">
        <f t="shared" si="3"/>
        <v>19132.66</v>
      </c>
      <c r="G28" s="35">
        <v>6814.38</v>
      </c>
      <c r="H28" s="35">
        <v>7076.46</v>
      </c>
      <c r="I28" s="35">
        <v>7251.2</v>
      </c>
      <c r="J28" s="87">
        <f t="shared" si="4"/>
        <v>21142.04</v>
      </c>
      <c r="K28" s="35">
        <v>7425.95</v>
      </c>
      <c r="L28" s="35">
        <v>7600.7</v>
      </c>
      <c r="M28" s="35">
        <v>7775.42</v>
      </c>
      <c r="N28" s="87">
        <f t="shared" si="5"/>
        <v>22802.07</v>
      </c>
      <c r="O28" s="35">
        <v>7950.09</v>
      </c>
      <c r="P28" s="35">
        <v>8124.84</v>
      </c>
      <c r="Q28" s="35">
        <v>8212.25</v>
      </c>
      <c r="R28" s="87">
        <f t="shared" si="6"/>
        <v>24287.18</v>
      </c>
      <c r="S28" s="87">
        <f t="shared" si="7"/>
        <v>87363.94999999998</v>
      </c>
    </row>
    <row r="29" spans="1:19" ht="13.5" thickBot="1">
      <c r="A29" s="90" t="s">
        <v>82</v>
      </c>
      <c r="B29" s="90" t="s">
        <v>137</v>
      </c>
      <c r="C29" s="20">
        <v>17453.44</v>
      </c>
      <c r="D29" s="20">
        <v>17699.27</v>
      </c>
      <c r="E29" s="20">
        <v>18682.55</v>
      </c>
      <c r="F29" s="91">
        <f t="shared" si="3"/>
        <v>53835.259999999995</v>
      </c>
      <c r="G29" s="20">
        <v>19174.18</v>
      </c>
      <c r="H29" s="20">
        <v>19911.67</v>
      </c>
      <c r="I29" s="20">
        <v>20403.29</v>
      </c>
      <c r="J29" s="91">
        <f t="shared" si="4"/>
        <v>59489.14</v>
      </c>
      <c r="K29" s="20">
        <v>20894.96</v>
      </c>
      <c r="L29" s="20">
        <v>21386.62</v>
      </c>
      <c r="M29" s="20">
        <v>21878.24</v>
      </c>
      <c r="N29" s="91">
        <f t="shared" si="5"/>
        <v>64159.82000000001</v>
      </c>
      <c r="O29" s="20">
        <v>22369.9</v>
      </c>
      <c r="P29" s="20">
        <v>22861.52</v>
      </c>
      <c r="Q29" s="20">
        <v>23107.36</v>
      </c>
      <c r="R29" s="91">
        <f t="shared" si="6"/>
        <v>68338.78</v>
      </c>
      <c r="S29" s="101">
        <f t="shared" si="7"/>
        <v>245822.99999999994</v>
      </c>
    </row>
    <row r="30" spans="1:19" ht="13.5" thickBot="1">
      <c r="A30" s="86" t="s">
        <v>84</v>
      </c>
      <c r="B30" s="86" t="s">
        <v>138</v>
      </c>
      <c r="C30" s="35">
        <v>19428.44</v>
      </c>
      <c r="D30" s="35">
        <v>19702.08</v>
      </c>
      <c r="E30" s="35">
        <v>20796.64</v>
      </c>
      <c r="F30" s="87">
        <f t="shared" si="3"/>
        <v>59927.16</v>
      </c>
      <c r="G30" s="35">
        <v>21343.92</v>
      </c>
      <c r="H30" s="35">
        <v>22164.84</v>
      </c>
      <c r="I30" s="35">
        <v>22712.12</v>
      </c>
      <c r="J30" s="87">
        <f t="shared" si="4"/>
        <v>66220.87999999999</v>
      </c>
      <c r="K30" s="35">
        <v>23259.4</v>
      </c>
      <c r="L30" s="35">
        <v>23806.68</v>
      </c>
      <c r="M30" s="35">
        <v>24353.96</v>
      </c>
      <c r="N30" s="87">
        <f t="shared" si="5"/>
        <v>71420.04000000001</v>
      </c>
      <c r="O30" s="35">
        <v>24901.24</v>
      </c>
      <c r="P30" s="35">
        <v>25448.52</v>
      </c>
      <c r="Q30" s="35">
        <v>25722.16</v>
      </c>
      <c r="R30" s="87">
        <f t="shared" si="6"/>
        <v>76071.92</v>
      </c>
      <c r="S30" s="87">
        <f t="shared" si="7"/>
        <v>273639.99999999994</v>
      </c>
    </row>
    <row r="31" spans="1:19" ht="13.5" thickBot="1">
      <c r="A31" s="90" t="s">
        <v>94</v>
      </c>
      <c r="B31" s="90" t="s">
        <v>95</v>
      </c>
      <c r="C31" s="20">
        <v>5207.14</v>
      </c>
      <c r="D31" s="20">
        <v>5280.48</v>
      </c>
      <c r="E31" s="20">
        <v>5573.84</v>
      </c>
      <c r="F31" s="91">
        <f t="shared" si="3"/>
        <v>16061.46</v>
      </c>
      <c r="G31" s="20">
        <v>5720.52</v>
      </c>
      <c r="H31" s="20">
        <v>5940.54</v>
      </c>
      <c r="I31" s="20">
        <v>6087.22</v>
      </c>
      <c r="J31" s="91">
        <f t="shared" si="4"/>
        <v>17748.280000000002</v>
      </c>
      <c r="K31" s="20">
        <v>6233.9</v>
      </c>
      <c r="L31" s="20">
        <v>6380.58</v>
      </c>
      <c r="M31" s="20">
        <v>6527.26</v>
      </c>
      <c r="N31" s="91">
        <f t="shared" si="5"/>
        <v>19141.739999999998</v>
      </c>
      <c r="O31" s="20">
        <v>6673.94</v>
      </c>
      <c r="P31" s="20">
        <v>6820.62</v>
      </c>
      <c r="Q31" s="20">
        <v>6893.96</v>
      </c>
      <c r="R31" s="91">
        <f t="shared" si="6"/>
        <v>20388.52</v>
      </c>
      <c r="S31" s="101">
        <f t="shared" si="7"/>
        <v>73340.00000000001</v>
      </c>
    </row>
    <row r="32" spans="1:19" ht="13.5" thickBot="1">
      <c r="A32" s="86" t="s">
        <v>86</v>
      </c>
      <c r="B32" s="86" t="s">
        <v>139</v>
      </c>
      <c r="C32" s="35">
        <v>8247.84</v>
      </c>
      <c r="D32" s="35">
        <v>8364.02</v>
      </c>
      <c r="E32" s="35">
        <v>8828.68</v>
      </c>
      <c r="F32" s="87">
        <f t="shared" si="3"/>
        <v>25440.54</v>
      </c>
      <c r="G32" s="35">
        <v>9061.03</v>
      </c>
      <c r="H32" s="35">
        <v>9409.51</v>
      </c>
      <c r="I32" s="35">
        <v>9641.86</v>
      </c>
      <c r="J32" s="87">
        <f t="shared" si="4"/>
        <v>28112.4</v>
      </c>
      <c r="K32" s="35">
        <v>9874.2</v>
      </c>
      <c r="L32" s="35">
        <v>10106.53</v>
      </c>
      <c r="M32" s="35">
        <v>10338.88</v>
      </c>
      <c r="N32" s="87">
        <f t="shared" si="5"/>
        <v>30319.61</v>
      </c>
      <c r="O32" s="35">
        <v>10571.18</v>
      </c>
      <c r="P32" s="35">
        <v>10803.53</v>
      </c>
      <c r="Q32" s="35">
        <v>10919.71</v>
      </c>
      <c r="R32" s="87">
        <f t="shared" si="6"/>
        <v>32294.42</v>
      </c>
      <c r="S32" s="87">
        <f t="shared" si="7"/>
        <v>116166.97</v>
      </c>
    </row>
    <row r="33" spans="1:19" ht="13.5" thickBot="1">
      <c r="A33" s="90" t="s">
        <v>88</v>
      </c>
      <c r="B33" s="90" t="s">
        <v>89</v>
      </c>
      <c r="C33" s="20">
        <v>19955.9</v>
      </c>
      <c r="D33" s="20">
        <v>20236.95</v>
      </c>
      <c r="E33" s="20">
        <v>21361.24</v>
      </c>
      <c r="F33" s="91">
        <f t="shared" si="3"/>
        <v>61554.09000000001</v>
      </c>
      <c r="G33" s="20">
        <v>21923.4</v>
      </c>
      <c r="H33" s="20">
        <v>22766.59</v>
      </c>
      <c r="I33" s="20">
        <v>23328.74</v>
      </c>
      <c r="J33" s="91">
        <f t="shared" si="4"/>
        <v>68018.73000000001</v>
      </c>
      <c r="K33" s="20">
        <v>23890.86</v>
      </c>
      <c r="L33" s="20">
        <v>24452.99</v>
      </c>
      <c r="M33" s="20">
        <v>25015.14</v>
      </c>
      <c r="N33" s="91">
        <f t="shared" si="5"/>
        <v>73358.99</v>
      </c>
      <c r="O33" s="20">
        <v>25577.28</v>
      </c>
      <c r="P33" s="20">
        <v>26139.43</v>
      </c>
      <c r="Q33" s="20">
        <v>26420.49</v>
      </c>
      <c r="R33" s="91">
        <f t="shared" si="6"/>
        <v>78137.2</v>
      </c>
      <c r="S33" s="101">
        <f t="shared" si="7"/>
        <v>281069.01</v>
      </c>
    </row>
    <row r="34" spans="1:19" ht="13.5" thickBot="1">
      <c r="A34" s="86" t="s">
        <v>90</v>
      </c>
      <c r="B34" s="86" t="s">
        <v>91</v>
      </c>
      <c r="C34" s="35">
        <v>13890.65</v>
      </c>
      <c r="D34" s="35">
        <v>14086.29</v>
      </c>
      <c r="E34" s="35">
        <v>14868.86</v>
      </c>
      <c r="F34" s="87">
        <f t="shared" si="3"/>
        <v>42845.8</v>
      </c>
      <c r="G34" s="35">
        <v>15260.16</v>
      </c>
      <c r="H34" s="35">
        <v>15847.08</v>
      </c>
      <c r="I34" s="35">
        <v>16238.38</v>
      </c>
      <c r="J34" s="87">
        <f t="shared" si="4"/>
        <v>47345.619999999995</v>
      </c>
      <c r="K34" s="35">
        <v>16629.65</v>
      </c>
      <c r="L34" s="35">
        <v>17020.93</v>
      </c>
      <c r="M34" s="35">
        <v>17412.23</v>
      </c>
      <c r="N34" s="87">
        <f t="shared" si="5"/>
        <v>51062.81</v>
      </c>
      <c r="O34" s="35">
        <v>17803.51</v>
      </c>
      <c r="P34" s="35">
        <v>18194.81</v>
      </c>
      <c r="Q34" s="35">
        <v>18390.45</v>
      </c>
      <c r="R34" s="87">
        <f t="shared" si="6"/>
        <v>54388.770000000004</v>
      </c>
      <c r="S34" s="87">
        <f t="shared" si="7"/>
        <v>195643.00000000003</v>
      </c>
    </row>
    <row r="35" spans="1:19" ht="13.5" thickBot="1">
      <c r="A35" s="90" t="s">
        <v>92</v>
      </c>
      <c r="B35" s="90" t="s">
        <v>93</v>
      </c>
      <c r="C35" s="20">
        <v>3303.14</v>
      </c>
      <c r="D35" s="20">
        <v>3349.65</v>
      </c>
      <c r="E35" s="20">
        <v>3535.75</v>
      </c>
      <c r="F35" s="91">
        <f t="shared" si="3"/>
        <v>10188.54</v>
      </c>
      <c r="G35" s="20">
        <v>3628.8</v>
      </c>
      <c r="H35" s="20">
        <v>3768.36</v>
      </c>
      <c r="I35" s="20">
        <v>3861.42</v>
      </c>
      <c r="J35" s="91">
        <f t="shared" si="4"/>
        <v>11258.58</v>
      </c>
      <c r="K35" s="20">
        <v>3954.45</v>
      </c>
      <c r="L35" s="20">
        <v>4047.49</v>
      </c>
      <c r="M35" s="20">
        <v>4140.54</v>
      </c>
      <c r="N35" s="91">
        <f t="shared" si="5"/>
        <v>12142.48</v>
      </c>
      <c r="O35" s="20">
        <v>4233.6</v>
      </c>
      <c r="P35" s="20">
        <v>4326.64</v>
      </c>
      <c r="Q35" s="20">
        <v>4373.16</v>
      </c>
      <c r="R35" s="91">
        <f t="shared" si="6"/>
        <v>12933.400000000001</v>
      </c>
      <c r="S35" s="101">
        <f t="shared" si="7"/>
        <v>46523</v>
      </c>
    </row>
    <row r="36" spans="1:19" ht="12.75">
      <c r="A36" s="36" t="s">
        <v>28</v>
      </c>
      <c r="B36" s="36" t="s">
        <v>135</v>
      </c>
      <c r="C36" s="93">
        <f aca="true" t="shared" si="8" ref="C36:S36">SUM(C25:C35)</f>
        <v>-15359.820000000007</v>
      </c>
      <c r="D36" s="93">
        <f t="shared" si="8"/>
        <v>-15576.119999999997</v>
      </c>
      <c r="E36" s="93">
        <f t="shared" si="8"/>
        <v>-16441.51000000001</v>
      </c>
      <c r="F36" s="93">
        <f t="shared" si="8"/>
        <v>-47377.44999999996</v>
      </c>
      <c r="G36" s="93">
        <f t="shared" si="8"/>
        <v>-16874.09999999999</v>
      </c>
      <c r="H36" s="93">
        <f t="shared" si="8"/>
        <v>-17523.17</v>
      </c>
      <c r="I36" s="93">
        <f t="shared" si="8"/>
        <v>-17955.82</v>
      </c>
      <c r="J36" s="93">
        <f t="shared" si="8"/>
        <v>-52353.09000000001</v>
      </c>
      <c r="K36" s="93">
        <f t="shared" si="8"/>
        <v>-18388.470000000005</v>
      </c>
      <c r="L36" s="93">
        <f t="shared" si="8"/>
        <v>-18821.14999999998</v>
      </c>
      <c r="M36" s="93">
        <f t="shared" si="8"/>
        <v>-19253.72000000002</v>
      </c>
      <c r="N36" s="93">
        <f t="shared" si="8"/>
        <v>-56463.34</v>
      </c>
      <c r="O36" s="93">
        <f t="shared" si="8"/>
        <v>-19686.559999999983</v>
      </c>
      <c r="P36" s="93">
        <f t="shared" si="8"/>
        <v>-20119.179999999997</v>
      </c>
      <c r="Q36" s="93">
        <f t="shared" si="8"/>
        <v>-20335.410000000003</v>
      </c>
      <c r="R36" s="93">
        <f t="shared" si="8"/>
        <v>-60141.150000000016</v>
      </c>
      <c r="S36" s="93">
        <f t="shared" si="8"/>
        <v>-216335.03000000003</v>
      </c>
    </row>
    <row r="37" ht="1.5" customHeight="1"/>
    <row r="38" spans="1:2" ht="12.75">
      <c r="A38" s="15" t="s">
        <v>140</v>
      </c>
      <c r="B38" s="15"/>
    </row>
    <row r="39" spans="1:19" ht="13.5" thickBot="1">
      <c r="A39" s="86" t="s">
        <v>141</v>
      </c>
      <c r="B39" s="86" t="s">
        <v>142</v>
      </c>
      <c r="C39" s="35">
        <v>0</v>
      </c>
      <c r="D39" s="35">
        <v>0</v>
      </c>
      <c r="E39" s="35">
        <v>0</v>
      </c>
      <c r="F39" s="87">
        <v>0</v>
      </c>
      <c r="G39" s="35">
        <v>0</v>
      </c>
      <c r="H39" s="35">
        <v>0</v>
      </c>
      <c r="I39" s="35">
        <v>0</v>
      </c>
      <c r="J39" s="87">
        <v>0</v>
      </c>
      <c r="K39" s="35">
        <v>0</v>
      </c>
      <c r="L39" s="35">
        <v>0</v>
      </c>
      <c r="M39" s="35">
        <v>0</v>
      </c>
      <c r="N39" s="87">
        <v>0</v>
      </c>
      <c r="O39" s="35">
        <v>0</v>
      </c>
      <c r="P39" s="35">
        <v>0</v>
      </c>
      <c r="Q39" s="35">
        <v>0</v>
      </c>
      <c r="R39" s="87">
        <v>0</v>
      </c>
      <c r="S39" s="87">
        <v>0</v>
      </c>
    </row>
    <row r="40" spans="1:19" ht="12.75">
      <c r="A40" s="98" t="s">
        <v>28</v>
      </c>
      <c r="B40" s="98" t="s">
        <v>140</v>
      </c>
      <c r="C40" s="99">
        <f aca="true" t="shared" si="9" ref="C40:S40">SUM(C38:C39)</f>
        <v>0</v>
      </c>
      <c r="D40" s="99">
        <f t="shared" si="9"/>
        <v>0</v>
      </c>
      <c r="E40" s="99">
        <f t="shared" si="9"/>
        <v>0</v>
      </c>
      <c r="F40" s="99">
        <f t="shared" si="9"/>
        <v>0</v>
      </c>
      <c r="G40" s="99">
        <f t="shared" si="9"/>
        <v>0</v>
      </c>
      <c r="H40" s="99">
        <f t="shared" si="9"/>
        <v>0</v>
      </c>
      <c r="I40" s="99">
        <f t="shared" si="9"/>
        <v>0</v>
      </c>
      <c r="J40" s="99">
        <f t="shared" si="9"/>
        <v>0</v>
      </c>
      <c r="K40" s="99">
        <f t="shared" si="9"/>
        <v>0</v>
      </c>
      <c r="L40" s="99">
        <f t="shared" si="9"/>
        <v>0</v>
      </c>
      <c r="M40" s="99">
        <f t="shared" si="9"/>
        <v>0</v>
      </c>
      <c r="N40" s="99">
        <f t="shared" si="9"/>
        <v>0</v>
      </c>
      <c r="O40" s="99">
        <f t="shared" si="9"/>
        <v>0</v>
      </c>
      <c r="P40" s="99">
        <f t="shared" si="9"/>
        <v>0</v>
      </c>
      <c r="Q40" s="99">
        <f t="shared" si="9"/>
        <v>0</v>
      </c>
      <c r="R40" s="99">
        <f t="shared" si="9"/>
        <v>0</v>
      </c>
      <c r="S40" s="99">
        <f t="shared" si="9"/>
        <v>0</v>
      </c>
    </row>
    <row r="41" ht="1.5" customHeight="1"/>
    <row r="42" spans="1:2" ht="12.75">
      <c r="A42" s="15" t="s">
        <v>143</v>
      </c>
      <c r="B42" s="15"/>
    </row>
    <row r="43" spans="1:19" ht="13.5" thickBot="1">
      <c r="A43" s="86" t="s">
        <v>141</v>
      </c>
      <c r="B43" s="86" t="s">
        <v>142</v>
      </c>
      <c r="C43" s="35">
        <v>0</v>
      </c>
      <c r="D43" s="35">
        <v>0</v>
      </c>
      <c r="E43" s="35">
        <v>0</v>
      </c>
      <c r="F43" s="87">
        <v>0</v>
      </c>
      <c r="G43" s="35">
        <v>0</v>
      </c>
      <c r="H43" s="35">
        <v>0</v>
      </c>
      <c r="I43" s="35">
        <v>0</v>
      </c>
      <c r="J43" s="87">
        <v>0</v>
      </c>
      <c r="K43" s="35">
        <v>0</v>
      </c>
      <c r="L43" s="35">
        <v>0</v>
      </c>
      <c r="M43" s="35">
        <v>0</v>
      </c>
      <c r="N43" s="87">
        <v>0</v>
      </c>
      <c r="O43" s="35">
        <v>0</v>
      </c>
      <c r="P43" s="35">
        <v>0</v>
      </c>
      <c r="Q43" s="35">
        <v>0</v>
      </c>
      <c r="R43" s="87">
        <v>0</v>
      </c>
      <c r="S43" s="87">
        <v>0</v>
      </c>
    </row>
    <row r="44" spans="1:19" ht="12.75">
      <c r="A44" s="98" t="s">
        <v>28</v>
      </c>
      <c r="B44" s="98" t="s">
        <v>143</v>
      </c>
      <c r="C44" s="99">
        <f aca="true" t="shared" si="10" ref="C44:S44">SUM(C42:C43)</f>
        <v>0</v>
      </c>
      <c r="D44" s="99">
        <f t="shared" si="10"/>
        <v>0</v>
      </c>
      <c r="E44" s="99">
        <f t="shared" si="10"/>
        <v>0</v>
      </c>
      <c r="F44" s="99">
        <f t="shared" si="10"/>
        <v>0</v>
      </c>
      <c r="G44" s="99">
        <f t="shared" si="10"/>
        <v>0</v>
      </c>
      <c r="H44" s="99">
        <f t="shared" si="10"/>
        <v>0</v>
      </c>
      <c r="I44" s="99">
        <f t="shared" si="10"/>
        <v>0</v>
      </c>
      <c r="J44" s="99">
        <f t="shared" si="10"/>
        <v>0</v>
      </c>
      <c r="K44" s="99">
        <f t="shared" si="10"/>
        <v>0</v>
      </c>
      <c r="L44" s="99">
        <f t="shared" si="10"/>
        <v>0</v>
      </c>
      <c r="M44" s="99">
        <f t="shared" si="10"/>
        <v>0</v>
      </c>
      <c r="N44" s="99">
        <f t="shared" si="10"/>
        <v>0</v>
      </c>
      <c r="O44" s="99">
        <f t="shared" si="10"/>
        <v>0</v>
      </c>
      <c r="P44" s="99">
        <f t="shared" si="10"/>
        <v>0</v>
      </c>
      <c r="Q44" s="99">
        <f t="shared" si="10"/>
        <v>0</v>
      </c>
      <c r="R44" s="99">
        <f t="shared" si="10"/>
        <v>0</v>
      </c>
      <c r="S44" s="99">
        <f t="shared" si="10"/>
        <v>0</v>
      </c>
    </row>
    <row r="45" ht="3" customHeight="1"/>
    <row r="46" spans="1:19" ht="12.75">
      <c r="A46" s="5" t="s">
        <v>144</v>
      </c>
      <c r="B46" s="5"/>
      <c r="C46" s="96">
        <f aca="true" t="shared" si="11" ref="C46:S46">(Gross_Profit_Calc+OI_Total)-OOE_Total-OE_Total</f>
        <v>291856.8900000001</v>
      </c>
      <c r="D46" s="96">
        <f t="shared" si="11"/>
        <v>295967.5</v>
      </c>
      <c r="E46" s="96">
        <f t="shared" si="11"/>
        <v>312410.22000000003</v>
      </c>
      <c r="F46" s="96">
        <f t="shared" si="11"/>
        <v>900234.61</v>
      </c>
      <c r="G46" s="96">
        <f t="shared" si="11"/>
        <v>320631.5</v>
      </c>
      <c r="H46" s="96">
        <f t="shared" si="11"/>
        <v>332963.45999999996</v>
      </c>
      <c r="I46" s="96">
        <f t="shared" si="11"/>
        <v>341184.75000000006</v>
      </c>
      <c r="J46" s="96">
        <f t="shared" si="11"/>
        <v>994779.7100000001</v>
      </c>
      <c r="K46" s="96">
        <f t="shared" si="11"/>
        <v>349406.11000000004</v>
      </c>
      <c r="L46" s="96">
        <f t="shared" si="11"/>
        <v>357627.42</v>
      </c>
      <c r="M46" s="96">
        <f t="shared" si="11"/>
        <v>365848.7</v>
      </c>
      <c r="N46" s="96">
        <f t="shared" si="11"/>
        <v>1072882.23</v>
      </c>
      <c r="O46" s="96">
        <f t="shared" si="11"/>
        <v>374070.12</v>
      </c>
      <c r="P46" s="96">
        <f t="shared" si="11"/>
        <v>382291.39999999997</v>
      </c>
      <c r="Q46" s="96">
        <f t="shared" si="11"/>
        <v>386401.98</v>
      </c>
      <c r="R46" s="96">
        <f t="shared" si="11"/>
        <v>1142763.5</v>
      </c>
      <c r="S46" s="96">
        <f t="shared" si="11"/>
        <v>4110660.0500000007</v>
      </c>
    </row>
    <row r="47" ht="1.5" customHeight="1"/>
    <row r="48" spans="1:2" ht="12.75">
      <c r="A48" s="15" t="s">
        <v>145</v>
      </c>
      <c r="B48" s="15"/>
    </row>
    <row r="49" spans="1:19" ht="13.5" thickBot="1">
      <c r="A49" s="86" t="s">
        <v>96</v>
      </c>
      <c r="B49" s="86" t="s">
        <v>97</v>
      </c>
      <c r="C49" s="35">
        <v>16088.69</v>
      </c>
      <c r="D49" s="35">
        <v>16315.19</v>
      </c>
      <c r="E49" s="35">
        <v>17221.67</v>
      </c>
      <c r="F49" s="87">
        <f>SUBTOTAL(9,C49:E49)</f>
        <v>49625.55</v>
      </c>
      <c r="G49" s="35">
        <v>17674.81</v>
      </c>
      <c r="H49" s="35">
        <v>18354.6</v>
      </c>
      <c r="I49" s="35">
        <v>18807.76</v>
      </c>
      <c r="J49" s="87">
        <f>SUBTOTAL(9,G49:I49)</f>
        <v>54837.17</v>
      </c>
      <c r="K49" s="35">
        <v>19261</v>
      </c>
      <c r="L49" s="35">
        <v>19714.21</v>
      </c>
      <c r="M49" s="35">
        <v>20167.4</v>
      </c>
      <c r="N49" s="87">
        <f>SUBTOTAL(9,K49:M49)</f>
        <v>59142.61</v>
      </c>
      <c r="O49" s="35">
        <v>20620.68</v>
      </c>
      <c r="P49" s="35">
        <v>21073.77</v>
      </c>
      <c r="Q49" s="35">
        <v>21300.33</v>
      </c>
      <c r="R49" s="87">
        <f>SUBTOTAL(9,O49:Q49)</f>
        <v>62994.78</v>
      </c>
      <c r="S49" s="87">
        <f>SUBTOTAL(9,C49:R49)</f>
        <v>226600.11</v>
      </c>
    </row>
    <row r="50" spans="1:19" ht="12.75">
      <c r="A50" s="98" t="s">
        <v>28</v>
      </c>
      <c r="B50" s="98" t="s">
        <v>145</v>
      </c>
      <c r="C50" s="99">
        <f aca="true" t="shared" si="12" ref="C50:S50">SUM(C48:C49)</f>
        <v>16088.69</v>
      </c>
      <c r="D50" s="99">
        <f t="shared" si="12"/>
        <v>16315.19</v>
      </c>
      <c r="E50" s="99">
        <f t="shared" si="12"/>
        <v>17221.67</v>
      </c>
      <c r="F50" s="99">
        <f t="shared" si="12"/>
        <v>49625.55</v>
      </c>
      <c r="G50" s="99">
        <f t="shared" si="12"/>
        <v>17674.81</v>
      </c>
      <c r="H50" s="99">
        <f t="shared" si="12"/>
        <v>18354.6</v>
      </c>
      <c r="I50" s="99">
        <f t="shared" si="12"/>
        <v>18807.76</v>
      </c>
      <c r="J50" s="99">
        <f t="shared" si="12"/>
        <v>54837.17</v>
      </c>
      <c r="K50" s="99">
        <f t="shared" si="12"/>
        <v>19261</v>
      </c>
      <c r="L50" s="99">
        <f t="shared" si="12"/>
        <v>19714.21</v>
      </c>
      <c r="M50" s="99">
        <f t="shared" si="12"/>
        <v>20167.4</v>
      </c>
      <c r="N50" s="99">
        <f t="shared" si="12"/>
        <v>59142.61</v>
      </c>
      <c r="O50" s="99">
        <f t="shared" si="12"/>
        <v>20620.68</v>
      </c>
      <c r="P50" s="99">
        <f t="shared" si="12"/>
        <v>21073.77</v>
      </c>
      <c r="Q50" s="99">
        <f t="shared" si="12"/>
        <v>21300.33</v>
      </c>
      <c r="R50" s="99">
        <f t="shared" si="12"/>
        <v>62994.78</v>
      </c>
      <c r="S50" s="99">
        <f t="shared" si="12"/>
        <v>226600.11</v>
      </c>
    </row>
    <row r="51" ht="3" customHeight="1"/>
    <row r="52" spans="1:19" ht="12.75">
      <c r="A52" s="5" t="s">
        <v>146</v>
      </c>
      <c r="B52" s="5"/>
      <c r="C52" s="96">
        <f aca="true" t="shared" si="13" ref="C52:S52">NetIncome_before_Tax-IT_Total</f>
        <v>275768.20000000007</v>
      </c>
      <c r="D52" s="96">
        <f t="shared" si="13"/>
        <v>279652.31</v>
      </c>
      <c r="E52" s="96">
        <f t="shared" si="13"/>
        <v>295188.55000000005</v>
      </c>
      <c r="F52" s="96">
        <f t="shared" si="13"/>
        <v>850609.0599999999</v>
      </c>
      <c r="G52" s="96">
        <f t="shared" si="13"/>
        <v>302956.69</v>
      </c>
      <c r="H52" s="96">
        <f t="shared" si="13"/>
        <v>314608.86</v>
      </c>
      <c r="I52" s="96">
        <f t="shared" si="13"/>
        <v>322376.99000000005</v>
      </c>
      <c r="J52" s="96">
        <f t="shared" si="13"/>
        <v>939942.54</v>
      </c>
      <c r="K52" s="96">
        <f t="shared" si="13"/>
        <v>330145.11000000004</v>
      </c>
      <c r="L52" s="96">
        <f t="shared" si="13"/>
        <v>337913.20999999996</v>
      </c>
      <c r="M52" s="96">
        <f t="shared" si="13"/>
        <v>345681.3</v>
      </c>
      <c r="N52" s="96">
        <f t="shared" si="13"/>
        <v>1013739.62</v>
      </c>
      <c r="O52" s="96">
        <f t="shared" si="13"/>
        <v>353449.44</v>
      </c>
      <c r="P52" s="96">
        <f t="shared" si="13"/>
        <v>361217.62999999995</v>
      </c>
      <c r="Q52" s="96">
        <f t="shared" si="13"/>
        <v>365101.64999999997</v>
      </c>
      <c r="R52" s="96">
        <f t="shared" si="13"/>
        <v>1079768.72</v>
      </c>
      <c r="S52" s="96">
        <f t="shared" si="13"/>
        <v>3884059.940000001</v>
      </c>
    </row>
    <row r="54" ht="12.75">
      <c r="A54" s="81" t="s">
        <v>312</v>
      </c>
    </row>
  </sheetData>
  <sheetProtection/>
  <printOptions/>
  <pageMargins left="0.37" right="0.25" top="0.72" bottom="1" header="0.5" footer="0.5"/>
  <pageSetup fitToWidth="2" horizontalDpi="300" verticalDpi="300" orientation="portrait" r:id="rId2"/>
  <headerFooter alignWithMargins="0">
    <oddFooter>&amp;C© Copyright, 2003, JaxWorks, All Rights Reserved.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421875" style="81" bestFit="1" customWidth="1"/>
    <col min="2" max="2" width="25.28125" style="81" bestFit="1" customWidth="1"/>
    <col min="3" max="3" width="17.28125" style="77" bestFit="1" customWidth="1"/>
    <col min="4" max="6" width="9.421875" style="77" bestFit="1" customWidth="1"/>
    <col min="7" max="7" width="6.8515625" style="0" customWidth="1"/>
    <col min="8" max="8" width="7.8515625" style="0" customWidth="1"/>
    <col min="9" max="183" width="17.421875" style="0" customWidth="1"/>
    <col min="184" max="232" width="11.00390625" style="0" customWidth="1"/>
    <col min="233" max="233" width="12.00390625" style="0" customWidth="1"/>
    <col min="234" max="234" width="13.57421875" style="0" customWidth="1"/>
    <col min="235" max="235" width="11.00390625" style="0" customWidth="1"/>
    <col min="236" max="236" width="10.421875" style="0" customWidth="1"/>
    <col min="237" max="237" width="12.00390625" style="0" customWidth="1"/>
    <col min="238" max="238" width="12.57421875" style="0" customWidth="1"/>
  </cols>
  <sheetData>
    <row r="1" spans="1:6" s="79" customFormat="1" ht="12.75">
      <c r="A1" s="76"/>
      <c r="B1" s="76"/>
      <c r="C1" s="77"/>
      <c r="D1" s="77"/>
      <c r="E1" s="77"/>
      <c r="F1" s="77"/>
    </row>
    <row r="2" spans="1:6" s="79" customFormat="1" ht="12.75">
      <c r="A2" s="76"/>
      <c r="B2" s="76"/>
      <c r="C2" s="77"/>
      <c r="D2" s="77"/>
      <c r="E2" s="77"/>
      <c r="F2" s="77"/>
    </row>
    <row r="3" ht="12.75"/>
    <row r="4" ht="12.75"/>
    <row r="5" spans="1:2" ht="12.75">
      <c r="A5" s="5" t="s">
        <v>0</v>
      </c>
      <c r="B5" s="80" t="s">
        <v>147</v>
      </c>
    </row>
    <row r="6" ht="3.75" customHeight="1"/>
    <row r="7" spans="1:6" ht="12.75">
      <c r="A7" s="41" t="s">
        <v>3</v>
      </c>
      <c r="B7" s="82" t="s">
        <v>4</v>
      </c>
      <c r="C7" s="83" t="s">
        <v>148</v>
      </c>
      <c r="D7" s="83" t="s">
        <v>149</v>
      </c>
      <c r="E7" s="83" t="s">
        <v>150</v>
      </c>
      <c r="F7" s="83" t="s">
        <v>151</v>
      </c>
    </row>
    <row r="8" ht="1.5" customHeight="1"/>
    <row r="9" spans="1:2" ht="12.75">
      <c r="A9" s="15" t="s">
        <v>56</v>
      </c>
      <c r="B9" s="15"/>
    </row>
    <row r="10" spans="1:6" ht="13.5" thickBot="1">
      <c r="A10" s="86" t="s">
        <v>57</v>
      </c>
      <c r="B10" s="86" t="s">
        <v>58</v>
      </c>
      <c r="C10" s="35">
        <v>2452399</v>
      </c>
      <c r="D10" s="35">
        <v>0</v>
      </c>
      <c r="E10" s="35">
        <v>0</v>
      </c>
      <c r="F10" s="35">
        <v>0</v>
      </c>
    </row>
    <row r="11" spans="1:6" ht="13.5" thickBot="1">
      <c r="A11" s="90" t="s">
        <v>59</v>
      </c>
      <c r="B11" s="90" t="s">
        <v>60</v>
      </c>
      <c r="C11" s="20">
        <v>1471399.02</v>
      </c>
      <c r="D11" s="20">
        <v>0</v>
      </c>
      <c r="E11" s="20">
        <v>0</v>
      </c>
      <c r="F11" s="20">
        <v>0</v>
      </c>
    </row>
    <row r="12" spans="1:6" ht="13.5" thickBot="1">
      <c r="A12" s="86" t="s">
        <v>61</v>
      </c>
      <c r="B12" s="86" t="s">
        <v>62</v>
      </c>
      <c r="C12" s="35">
        <v>2391286.98</v>
      </c>
      <c r="D12" s="35">
        <v>0</v>
      </c>
      <c r="E12" s="35">
        <v>0</v>
      </c>
      <c r="F12" s="35">
        <v>0</v>
      </c>
    </row>
    <row r="13" spans="1:6" ht="13.5" thickBot="1">
      <c r="A13" s="90" t="s">
        <v>63</v>
      </c>
      <c r="B13" s="90" t="s">
        <v>64</v>
      </c>
      <c r="C13" s="20">
        <v>59517.99</v>
      </c>
      <c r="D13" s="20">
        <v>0</v>
      </c>
      <c r="E13" s="20">
        <v>0</v>
      </c>
      <c r="F13" s="20">
        <v>0</v>
      </c>
    </row>
    <row r="14" spans="1:6" ht="12.75">
      <c r="A14" s="36" t="s">
        <v>28</v>
      </c>
      <c r="B14" s="36" t="s">
        <v>56</v>
      </c>
      <c r="C14" s="93">
        <f>SUM(C9:C13)</f>
        <v>6374602.99</v>
      </c>
      <c r="D14" s="93">
        <f>SUM(D9:D13)</f>
        <v>0</v>
      </c>
      <c r="E14" s="93">
        <f>SUM(E9:E13)</f>
        <v>0</v>
      </c>
      <c r="F14" s="93">
        <f>SUM(F9:F13)</f>
        <v>0</v>
      </c>
    </row>
    <row r="15" ht="1.5" customHeight="1"/>
    <row r="16" spans="1:2" ht="12.75">
      <c r="A16" s="15" t="s">
        <v>134</v>
      </c>
      <c r="B16" s="15"/>
    </row>
    <row r="17" spans="1:6" ht="13.5" thickBot="1">
      <c r="A17" s="86" t="s">
        <v>66</v>
      </c>
      <c r="B17" s="86" t="s">
        <v>67</v>
      </c>
      <c r="C17" s="35">
        <v>713117.97</v>
      </c>
      <c r="D17" s="35">
        <v>0</v>
      </c>
      <c r="E17" s="35">
        <v>0</v>
      </c>
      <c r="F17" s="35">
        <v>0</v>
      </c>
    </row>
    <row r="18" spans="1:6" ht="13.5" thickBot="1">
      <c r="A18" s="90" t="s">
        <v>68</v>
      </c>
      <c r="B18" s="90" t="s">
        <v>69</v>
      </c>
      <c r="C18" s="20">
        <v>911318.98</v>
      </c>
      <c r="D18" s="20">
        <v>0</v>
      </c>
      <c r="E18" s="20">
        <v>0</v>
      </c>
      <c r="F18" s="20">
        <v>0</v>
      </c>
    </row>
    <row r="19" spans="1:6" ht="13.5" thickBot="1">
      <c r="A19" s="86" t="s">
        <v>70</v>
      </c>
      <c r="B19" s="86" t="s">
        <v>71</v>
      </c>
      <c r="C19" s="35">
        <v>537186.02</v>
      </c>
      <c r="D19" s="35">
        <v>0</v>
      </c>
      <c r="E19" s="35">
        <v>0</v>
      </c>
      <c r="F19" s="35">
        <v>0</v>
      </c>
    </row>
    <row r="20" spans="1:6" ht="13.5" thickBot="1">
      <c r="A20" s="90" t="s">
        <v>72</v>
      </c>
      <c r="B20" s="90" t="s">
        <v>73</v>
      </c>
      <c r="C20" s="20">
        <v>318655</v>
      </c>
      <c r="D20" s="20">
        <v>0</v>
      </c>
      <c r="E20" s="20">
        <v>0</v>
      </c>
      <c r="F20" s="20">
        <v>0</v>
      </c>
    </row>
    <row r="21" spans="1:6" ht="12.75">
      <c r="A21" s="36" t="s">
        <v>28</v>
      </c>
      <c r="B21" s="36" t="s">
        <v>134</v>
      </c>
      <c r="C21" s="93">
        <f>SUM(C16:C20)</f>
        <v>2480277.9699999997</v>
      </c>
      <c r="D21" s="93">
        <f>SUM(D16:D20)</f>
        <v>0</v>
      </c>
      <c r="E21" s="93">
        <f>SUM(E16:E20)</f>
        <v>0</v>
      </c>
      <c r="F21" s="93">
        <f>SUM(F16:F20)</f>
        <v>0</v>
      </c>
    </row>
    <row r="22" ht="3" customHeight="1"/>
    <row r="23" spans="1:6" ht="12.75">
      <c r="A23" s="5" t="s">
        <v>74</v>
      </c>
      <c r="B23" s="5"/>
      <c r="C23" s="96">
        <f>REV_Total-COS_Total</f>
        <v>3894325.0200000005</v>
      </c>
      <c r="D23" s="96">
        <f>REV_Total-COS_Total</f>
        <v>0</v>
      </c>
      <c r="E23" s="96">
        <f>REV_Total-COS_Total</f>
        <v>0</v>
      </c>
      <c r="F23" s="96">
        <f>REV_Total-COS_Total</f>
        <v>0</v>
      </c>
    </row>
    <row r="24" ht="1.5" customHeight="1"/>
    <row r="25" spans="1:2" ht="12.75">
      <c r="A25" s="15" t="s">
        <v>135</v>
      </c>
      <c r="B25" s="15"/>
    </row>
    <row r="26" spans="1:6" ht="13.5" thickBot="1">
      <c r="A26" s="86" t="s">
        <v>76</v>
      </c>
      <c r="B26" s="86" t="s">
        <v>77</v>
      </c>
      <c r="C26" s="35">
        <v>-1592398.94</v>
      </c>
      <c r="D26" s="35">
        <v>0</v>
      </c>
      <c r="E26" s="35">
        <v>0</v>
      </c>
      <c r="F26" s="35">
        <v>0</v>
      </c>
    </row>
    <row r="27" spans="1:6" ht="13.5" thickBot="1">
      <c r="A27" s="90" t="s">
        <v>78</v>
      </c>
      <c r="B27" s="90" t="s">
        <v>79</v>
      </c>
      <c r="C27" s="20">
        <v>56494.98</v>
      </c>
      <c r="D27" s="20">
        <v>0</v>
      </c>
      <c r="E27" s="20">
        <v>0</v>
      </c>
      <c r="F27" s="20">
        <v>0</v>
      </c>
    </row>
    <row r="28" spans="1:6" ht="13.5" thickBot="1">
      <c r="A28" s="86" t="s">
        <v>80</v>
      </c>
      <c r="B28" s="86" t="s">
        <v>136</v>
      </c>
      <c r="C28" s="35">
        <v>87363.95</v>
      </c>
      <c r="D28" s="35">
        <v>0</v>
      </c>
      <c r="E28" s="35">
        <v>0</v>
      </c>
      <c r="F28" s="35">
        <v>0</v>
      </c>
    </row>
    <row r="29" spans="1:6" ht="13.5" thickBot="1">
      <c r="A29" s="90" t="s">
        <v>82</v>
      </c>
      <c r="B29" s="90" t="s">
        <v>137</v>
      </c>
      <c r="C29" s="20">
        <v>245823</v>
      </c>
      <c r="D29" s="20">
        <v>0</v>
      </c>
      <c r="E29" s="20">
        <v>0</v>
      </c>
      <c r="F29" s="20">
        <v>0</v>
      </c>
    </row>
    <row r="30" spans="1:6" ht="13.5" thickBot="1">
      <c r="A30" s="86" t="s">
        <v>84</v>
      </c>
      <c r="B30" s="86" t="s">
        <v>138</v>
      </c>
      <c r="C30" s="35">
        <v>273640</v>
      </c>
      <c r="D30" s="35">
        <v>0</v>
      </c>
      <c r="E30" s="35">
        <v>0</v>
      </c>
      <c r="F30" s="35">
        <v>0</v>
      </c>
    </row>
    <row r="31" spans="1:6" ht="13.5" thickBot="1">
      <c r="A31" s="90" t="s">
        <v>94</v>
      </c>
      <c r="B31" s="90" t="s">
        <v>95</v>
      </c>
      <c r="C31" s="20">
        <v>73340</v>
      </c>
      <c r="D31" s="20">
        <v>0</v>
      </c>
      <c r="E31" s="20">
        <v>0</v>
      </c>
      <c r="F31" s="20">
        <v>0</v>
      </c>
    </row>
    <row r="32" spans="1:6" ht="13.5" thickBot="1">
      <c r="A32" s="86" t="s">
        <v>86</v>
      </c>
      <c r="B32" s="86" t="s">
        <v>139</v>
      </c>
      <c r="C32" s="35">
        <v>116166.97</v>
      </c>
      <c r="D32" s="35">
        <v>0</v>
      </c>
      <c r="E32" s="35">
        <v>0</v>
      </c>
      <c r="F32" s="35">
        <v>0</v>
      </c>
    </row>
    <row r="33" spans="1:6" ht="13.5" thickBot="1">
      <c r="A33" s="90" t="s">
        <v>88</v>
      </c>
      <c r="B33" s="90" t="s">
        <v>89</v>
      </c>
      <c r="C33" s="20">
        <v>281069.01</v>
      </c>
      <c r="D33" s="20">
        <v>0</v>
      </c>
      <c r="E33" s="20">
        <v>0</v>
      </c>
      <c r="F33" s="20">
        <v>0</v>
      </c>
    </row>
    <row r="34" spans="1:6" ht="13.5" thickBot="1">
      <c r="A34" s="86" t="s">
        <v>90</v>
      </c>
      <c r="B34" s="86" t="s">
        <v>91</v>
      </c>
      <c r="C34" s="35">
        <v>195643</v>
      </c>
      <c r="D34" s="35">
        <v>0</v>
      </c>
      <c r="E34" s="35">
        <v>0</v>
      </c>
      <c r="F34" s="35">
        <v>0</v>
      </c>
    </row>
    <row r="35" spans="1:6" ht="13.5" thickBot="1">
      <c r="A35" s="90" t="s">
        <v>92</v>
      </c>
      <c r="B35" s="90" t="s">
        <v>93</v>
      </c>
      <c r="C35" s="20">
        <v>46523</v>
      </c>
      <c r="D35" s="20">
        <v>0</v>
      </c>
      <c r="E35" s="20">
        <v>0</v>
      </c>
      <c r="F35" s="20">
        <v>0</v>
      </c>
    </row>
    <row r="36" spans="1:6" ht="12.75">
      <c r="A36" s="36" t="s">
        <v>28</v>
      </c>
      <c r="B36" s="36" t="s">
        <v>135</v>
      </c>
      <c r="C36" s="93">
        <f>SUM(C25:C35)</f>
        <v>-216335.03000000003</v>
      </c>
      <c r="D36" s="93">
        <f>SUM(D25:D35)</f>
        <v>0</v>
      </c>
      <c r="E36" s="93">
        <f>SUM(E25:E35)</f>
        <v>0</v>
      </c>
      <c r="F36" s="93">
        <f>SUM(F25:F35)</f>
        <v>0</v>
      </c>
    </row>
    <row r="37" ht="1.5" customHeight="1"/>
    <row r="38" spans="1:2" ht="12.75">
      <c r="A38" s="15" t="s">
        <v>140</v>
      </c>
      <c r="B38" s="15"/>
    </row>
    <row r="39" spans="1:6" ht="13.5" thickBot="1">
      <c r="A39" s="86" t="s">
        <v>141</v>
      </c>
      <c r="B39" s="86" t="s">
        <v>142</v>
      </c>
      <c r="C39" s="35">
        <v>0</v>
      </c>
      <c r="D39" s="35">
        <v>0</v>
      </c>
      <c r="E39" s="35">
        <v>0</v>
      </c>
      <c r="F39" s="35">
        <v>0</v>
      </c>
    </row>
    <row r="40" spans="1:6" ht="12.75">
      <c r="A40" s="98" t="s">
        <v>28</v>
      </c>
      <c r="B40" s="98" t="s">
        <v>140</v>
      </c>
      <c r="C40" s="99">
        <f>SUM(C38:C39)</f>
        <v>0</v>
      </c>
      <c r="D40" s="99">
        <f>SUM(D38:D39)</f>
        <v>0</v>
      </c>
      <c r="E40" s="99">
        <f>SUM(E38:E39)</f>
        <v>0</v>
      </c>
      <c r="F40" s="99">
        <f>SUM(F38:F39)</f>
        <v>0</v>
      </c>
    </row>
    <row r="41" ht="1.5" customHeight="1"/>
    <row r="42" spans="1:2" ht="12.75">
      <c r="A42" s="15" t="s">
        <v>143</v>
      </c>
      <c r="B42" s="15"/>
    </row>
    <row r="43" spans="1:6" ht="13.5" thickBot="1">
      <c r="A43" s="86" t="s">
        <v>141</v>
      </c>
      <c r="B43" s="86" t="s">
        <v>142</v>
      </c>
      <c r="C43" s="35">
        <v>0</v>
      </c>
      <c r="D43" s="35">
        <v>0</v>
      </c>
      <c r="E43" s="35">
        <v>0</v>
      </c>
      <c r="F43" s="35">
        <v>0</v>
      </c>
    </row>
    <row r="44" spans="1:6" ht="12.75">
      <c r="A44" s="98" t="s">
        <v>28</v>
      </c>
      <c r="B44" s="98" t="s">
        <v>143</v>
      </c>
      <c r="C44" s="99">
        <f>SUM(C42:C43)</f>
        <v>0</v>
      </c>
      <c r="D44" s="99">
        <f>SUM(D42:D43)</f>
        <v>0</v>
      </c>
      <c r="E44" s="99">
        <f>SUM(E42:E43)</f>
        <v>0</v>
      </c>
      <c r="F44" s="99">
        <f>SUM(F42:F43)</f>
        <v>0</v>
      </c>
    </row>
    <row r="45" ht="3" customHeight="1"/>
    <row r="46" spans="1:6" ht="12.75">
      <c r="A46" s="5" t="s">
        <v>144</v>
      </c>
      <c r="B46" s="5"/>
      <c r="C46" s="96">
        <f>(Gross_Profit_Calc+OI_Total)-OOE_Total-OE_Total</f>
        <v>4110660.0500000007</v>
      </c>
      <c r="D46" s="96">
        <f>(Gross_Profit_Calc+OI_Total)-OOE_Total-OE_Total</f>
        <v>0</v>
      </c>
      <c r="E46" s="96">
        <f>(Gross_Profit_Calc+OI_Total)-OOE_Total-OE_Total</f>
        <v>0</v>
      </c>
      <c r="F46" s="96">
        <f>(Gross_Profit_Calc+OI_Total)-OOE_Total-OE_Total</f>
        <v>0</v>
      </c>
    </row>
    <row r="47" ht="1.5" customHeight="1"/>
    <row r="48" spans="1:2" ht="12.75">
      <c r="A48" s="15" t="s">
        <v>145</v>
      </c>
      <c r="B48" s="15"/>
    </row>
    <row r="49" spans="1:6" ht="13.5" thickBot="1">
      <c r="A49" s="86" t="s">
        <v>96</v>
      </c>
      <c r="B49" s="86" t="s">
        <v>97</v>
      </c>
      <c r="C49" s="35">
        <v>226600.11</v>
      </c>
      <c r="D49" s="35">
        <v>0</v>
      </c>
      <c r="E49" s="35">
        <v>0</v>
      </c>
      <c r="F49" s="35">
        <v>0</v>
      </c>
    </row>
    <row r="50" spans="1:6" ht="12.75">
      <c r="A50" s="98" t="s">
        <v>28</v>
      </c>
      <c r="B50" s="98" t="s">
        <v>145</v>
      </c>
      <c r="C50" s="99">
        <f>SUM(C48:C49)</f>
        <v>226600.11</v>
      </c>
      <c r="D50" s="99">
        <f>SUM(D48:D49)</f>
        <v>0</v>
      </c>
      <c r="E50" s="99">
        <f>SUM(E48:E49)</f>
        <v>0</v>
      </c>
      <c r="F50" s="99">
        <f>SUM(F48:F49)</f>
        <v>0</v>
      </c>
    </row>
    <row r="51" ht="3" customHeight="1"/>
    <row r="52" spans="1:6" ht="12.75">
      <c r="A52" s="5" t="s">
        <v>146</v>
      </c>
      <c r="B52" s="5"/>
      <c r="C52" s="96">
        <f>NetIncome_before_Tax-IT_Total</f>
        <v>3884059.940000001</v>
      </c>
      <c r="D52" s="96">
        <f>NetIncome_before_Tax-IT_Total</f>
        <v>0</v>
      </c>
      <c r="E52" s="96">
        <f>NetIncome_before_Tax-IT_Total</f>
        <v>0</v>
      </c>
      <c r="F52" s="96">
        <f>NetIncome_before_Tax-IT_Total</f>
        <v>0</v>
      </c>
    </row>
    <row r="54" ht="12.75">
      <c r="A54" s="81" t="s">
        <v>312</v>
      </c>
    </row>
  </sheetData>
  <sheetProtection/>
  <printOptions/>
  <pageMargins left="0.37" right="0.25" top="0.72" bottom="1" header="0.5" footer="0.5"/>
  <pageSetup fitToWidth="2" horizontalDpi="300" verticalDpi="300" orientation="portrait" r:id="rId2"/>
  <headerFooter alignWithMargins="0">
    <oddFooter>&amp;C© Copyright, 2003, JaxWorks, All Rights Reserved.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421875" style="81" bestFit="1" customWidth="1"/>
    <col min="2" max="2" width="25.28125" style="81" bestFit="1" customWidth="1"/>
    <col min="3" max="5" width="15.00390625" style="77" bestFit="1" customWidth="1"/>
    <col min="6" max="6" width="16.7109375" style="77" bestFit="1" customWidth="1"/>
    <col min="7" max="7" width="15.00390625" style="77" bestFit="1" customWidth="1"/>
    <col min="8" max="9" width="16.140625" style="77" bestFit="1" customWidth="1"/>
    <col min="10" max="10" width="17.28125" style="77" bestFit="1" customWidth="1"/>
    <col min="11" max="11" width="15.00390625" style="77" bestFit="1" customWidth="1"/>
    <col min="12" max="13" width="16.140625" style="77" bestFit="1" customWidth="1"/>
    <col min="14" max="14" width="17.28125" style="77" bestFit="1" customWidth="1"/>
    <col min="15" max="17" width="15.00390625" style="77" bestFit="1" customWidth="1"/>
    <col min="18" max="19" width="17.28125" style="77" bestFit="1" customWidth="1"/>
    <col min="20" max="188" width="17.421875" style="0" customWidth="1"/>
    <col min="189" max="237" width="11.00390625" style="0" customWidth="1"/>
    <col min="238" max="238" width="12.00390625" style="0" customWidth="1"/>
    <col min="239" max="239" width="13.57421875" style="0" customWidth="1"/>
    <col min="240" max="240" width="11.00390625" style="0" customWidth="1"/>
    <col min="241" max="241" width="10.421875" style="0" customWidth="1"/>
    <col min="242" max="242" width="12.00390625" style="0" customWidth="1"/>
    <col min="243" max="243" width="12.57421875" style="0" customWidth="1"/>
  </cols>
  <sheetData>
    <row r="1" spans="1:19" s="79" customFormat="1" ht="12.75">
      <c r="A1" s="76"/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s="79" customFormat="1" ht="12.75">
      <c r="A2" s="76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ht="12.75"/>
    <row r="4" ht="12.75"/>
    <row r="5" spans="1:2" ht="12.75">
      <c r="A5" s="5" t="s">
        <v>0</v>
      </c>
      <c r="B5" s="80" t="s">
        <v>127</v>
      </c>
    </row>
    <row r="6" ht="3.75" customHeight="1"/>
    <row r="7" spans="1:19" ht="12.75">
      <c r="A7" s="41" t="s">
        <v>3</v>
      </c>
      <c r="B7" s="82" t="s">
        <v>4</v>
      </c>
      <c r="C7" s="83">
        <v>36251</v>
      </c>
      <c r="D7" s="83">
        <v>36281</v>
      </c>
      <c r="E7" s="83">
        <v>36312</v>
      </c>
      <c r="F7" s="83" t="s">
        <v>128</v>
      </c>
      <c r="G7" s="83">
        <v>36342</v>
      </c>
      <c r="H7" s="83">
        <v>36373</v>
      </c>
      <c r="I7" s="83">
        <v>36404</v>
      </c>
      <c r="J7" s="83" t="s">
        <v>129</v>
      </c>
      <c r="K7" s="83">
        <v>36434</v>
      </c>
      <c r="L7" s="83">
        <v>36465</v>
      </c>
      <c r="M7" s="83">
        <v>36495</v>
      </c>
      <c r="N7" s="83" t="s">
        <v>130</v>
      </c>
      <c r="O7" s="83">
        <v>36526</v>
      </c>
      <c r="P7" s="83">
        <v>36557</v>
      </c>
      <c r="Q7" s="83">
        <v>36586</v>
      </c>
      <c r="R7" s="83" t="s">
        <v>131</v>
      </c>
      <c r="S7" s="83" t="s">
        <v>152</v>
      </c>
    </row>
    <row r="8" ht="1.5" customHeight="1"/>
    <row r="9" spans="1:2" ht="12.75">
      <c r="A9" s="15" t="s">
        <v>56</v>
      </c>
      <c r="B9" s="15"/>
    </row>
    <row r="10" spans="1:19" ht="13.5" thickBot="1">
      <c r="A10" s="86" t="s">
        <v>57</v>
      </c>
      <c r="B10" s="86" t="s">
        <v>58</v>
      </c>
      <c r="C10" s="35">
        <v>174120.32</v>
      </c>
      <c r="D10" s="35">
        <v>176572.72</v>
      </c>
      <c r="E10" s="35">
        <v>186382.32</v>
      </c>
      <c r="F10" s="35">
        <f>SUBTOTAL(9,C10:E10)</f>
        <v>537075.3600000001</v>
      </c>
      <c r="G10" s="35">
        <v>191287.13</v>
      </c>
      <c r="H10" s="35">
        <v>198644.31</v>
      </c>
      <c r="I10" s="35">
        <v>203549.13</v>
      </c>
      <c r="J10" s="35">
        <f>SUBTOTAL(9,G10:I10)</f>
        <v>593480.5700000001</v>
      </c>
      <c r="K10" s="35">
        <v>208453.92</v>
      </c>
      <c r="L10" s="35">
        <v>213358.7</v>
      </c>
      <c r="M10" s="35">
        <v>218263.52</v>
      </c>
      <c r="N10" s="35">
        <f>SUBTOTAL(9,K10:M10)</f>
        <v>640076.14</v>
      </c>
      <c r="O10" s="35">
        <v>223168.3</v>
      </c>
      <c r="P10" s="35">
        <v>228073.12</v>
      </c>
      <c r="Q10" s="35">
        <v>230525.51</v>
      </c>
      <c r="R10" s="35">
        <f>SUBTOTAL(9,O10:Q10)</f>
        <v>681766.9299999999</v>
      </c>
      <c r="S10" s="35">
        <f>SUBTOTAL(9,C10:R10)</f>
        <v>2452399</v>
      </c>
    </row>
    <row r="11" spans="1:19" ht="13.5" thickBot="1">
      <c r="A11" s="90" t="s">
        <v>59</v>
      </c>
      <c r="B11" s="90" t="s">
        <v>60</v>
      </c>
      <c r="C11" s="20">
        <v>104469.32</v>
      </c>
      <c r="D11" s="20">
        <v>105940.75</v>
      </c>
      <c r="E11" s="20">
        <v>111826.35</v>
      </c>
      <c r="F11" s="20">
        <f>SUBTOTAL(9,C11:E11)</f>
        <v>322236.42000000004</v>
      </c>
      <c r="G11" s="20">
        <v>114769.13</v>
      </c>
      <c r="H11" s="20">
        <v>119183.31</v>
      </c>
      <c r="I11" s="20">
        <v>122126.09</v>
      </c>
      <c r="J11" s="20">
        <f>SUBTOTAL(9,G11:I11)</f>
        <v>356078.53</v>
      </c>
      <c r="K11" s="20">
        <v>125068.92</v>
      </c>
      <c r="L11" s="20">
        <v>128011.7</v>
      </c>
      <c r="M11" s="20">
        <v>130954.52</v>
      </c>
      <c r="N11" s="20">
        <f>SUBTOTAL(9,K11:M11)</f>
        <v>384035.14</v>
      </c>
      <c r="O11" s="20">
        <v>133897.3</v>
      </c>
      <c r="P11" s="20">
        <v>136840.12</v>
      </c>
      <c r="Q11" s="20">
        <v>138311.51</v>
      </c>
      <c r="R11" s="20">
        <f>SUBTOTAL(9,O11:Q11)</f>
        <v>409048.93</v>
      </c>
      <c r="S11" s="20">
        <f>SUBTOTAL(9,C11:R11)</f>
        <v>1471399.0200000003</v>
      </c>
    </row>
    <row r="12" spans="1:19" ht="13.5" thickBot="1">
      <c r="A12" s="86" t="s">
        <v>61</v>
      </c>
      <c r="B12" s="86" t="s">
        <v>62</v>
      </c>
      <c r="C12" s="35">
        <v>169781.37</v>
      </c>
      <c r="D12" s="35">
        <v>172172.66</v>
      </c>
      <c r="E12" s="35">
        <v>181737.81</v>
      </c>
      <c r="F12" s="35">
        <f>SUBTOTAL(9,C12:E12)</f>
        <v>523691.84</v>
      </c>
      <c r="G12" s="35">
        <v>186520.39</v>
      </c>
      <c r="H12" s="35">
        <v>193694.24</v>
      </c>
      <c r="I12" s="35">
        <v>198476.82</v>
      </c>
      <c r="J12" s="35">
        <f>SUBTOTAL(9,G12:I12)</f>
        <v>578691.45</v>
      </c>
      <c r="K12" s="35">
        <v>203259.39</v>
      </c>
      <c r="L12" s="35">
        <v>208041.97</v>
      </c>
      <c r="M12" s="35">
        <v>212824.55</v>
      </c>
      <c r="N12" s="35">
        <f>SUBTOTAL(9,K12:M12)</f>
        <v>624125.9099999999</v>
      </c>
      <c r="O12" s="35">
        <v>217607.11</v>
      </c>
      <c r="P12" s="35">
        <v>222389.69</v>
      </c>
      <c r="Q12" s="35">
        <v>224780.98</v>
      </c>
      <c r="R12" s="35">
        <f>SUBTOTAL(9,O12:Q12)</f>
        <v>664777.78</v>
      </c>
      <c r="S12" s="35">
        <f>SUBTOTAL(9,C12:R12)</f>
        <v>2391286.98</v>
      </c>
    </row>
    <row r="13" spans="1:19" ht="13.5" thickBot="1">
      <c r="A13" s="90" t="s">
        <v>63</v>
      </c>
      <c r="B13" s="90" t="s">
        <v>64</v>
      </c>
      <c r="C13" s="20">
        <v>4225.77</v>
      </c>
      <c r="D13" s="20">
        <v>4285.29</v>
      </c>
      <c r="E13" s="20">
        <v>4523.35</v>
      </c>
      <c r="F13" s="20">
        <f>SUBTOTAL(9,C13:E13)</f>
        <v>13034.410000000002</v>
      </c>
      <c r="G13" s="20">
        <v>4642.41</v>
      </c>
      <c r="H13" s="20">
        <v>4820.93</v>
      </c>
      <c r="I13" s="20">
        <v>4940</v>
      </c>
      <c r="J13" s="20">
        <f>SUBTOTAL(9,G13:I13)</f>
        <v>14403.34</v>
      </c>
      <c r="K13" s="20">
        <v>5059.03</v>
      </c>
      <c r="L13" s="20">
        <v>5178.06</v>
      </c>
      <c r="M13" s="20">
        <v>5297.14</v>
      </c>
      <c r="N13" s="20">
        <f>SUBTOTAL(9,K13:M13)</f>
        <v>15534.23</v>
      </c>
      <c r="O13" s="20">
        <v>5416.13</v>
      </c>
      <c r="P13" s="20">
        <v>5535.17</v>
      </c>
      <c r="Q13" s="20">
        <v>5594.71</v>
      </c>
      <c r="R13" s="20">
        <f>SUBTOTAL(9,O13:Q13)</f>
        <v>16546.01</v>
      </c>
      <c r="S13" s="20">
        <f>SUBTOTAL(9,C13:R13)</f>
        <v>59517.98999999999</v>
      </c>
    </row>
    <row r="14" spans="1:19" ht="12.75">
      <c r="A14" s="36" t="s">
        <v>28</v>
      </c>
      <c r="B14" s="36" t="s">
        <v>56</v>
      </c>
      <c r="C14" s="93">
        <f aca="true" t="shared" si="0" ref="C14:S14">SUM(C9:C13)</f>
        <v>452596.78</v>
      </c>
      <c r="D14" s="93">
        <f t="shared" si="0"/>
        <v>458971.42</v>
      </c>
      <c r="E14" s="93">
        <f t="shared" si="0"/>
        <v>484469.83</v>
      </c>
      <c r="F14" s="93">
        <f t="shared" si="0"/>
        <v>1396038.03</v>
      </c>
      <c r="G14" s="93">
        <f t="shared" si="0"/>
        <v>497219.06</v>
      </c>
      <c r="H14" s="93">
        <f t="shared" si="0"/>
        <v>516342.79</v>
      </c>
      <c r="I14" s="93">
        <f t="shared" si="0"/>
        <v>529092.04</v>
      </c>
      <c r="J14" s="93">
        <f t="shared" si="0"/>
        <v>1542653.8900000001</v>
      </c>
      <c r="K14" s="93">
        <f t="shared" si="0"/>
        <v>541841.26</v>
      </c>
      <c r="L14" s="93">
        <f t="shared" si="0"/>
        <v>554590.43</v>
      </c>
      <c r="M14" s="93">
        <f t="shared" si="0"/>
        <v>567339.73</v>
      </c>
      <c r="N14" s="93">
        <f t="shared" si="0"/>
        <v>1663771.42</v>
      </c>
      <c r="O14" s="93">
        <f t="shared" si="0"/>
        <v>580088.84</v>
      </c>
      <c r="P14" s="93">
        <f t="shared" si="0"/>
        <v>592838.1</v>
      </c>
      <c r="Q14" s="93">
        <f t="shared" si="0"/>
        <v>599212.71</v>
      </c>
      <c r="R14" s="93">
        <f t="shared" si="0"/>
        <v>1772139.65</v>
      </c>
      <c r="S14" s="93">
        <f t="shared" si="0"/>
        <v>6374602.99</v>
      </c>
    </row>
    <row r="15" ht="1.5" customHeight="1"/>
    <row r="16" spans="1:2" ht="12.75">
      <c r="A16" s="15" t="s">
        <v>134</v>
      </c>
      <c r="B16" s="15"/>
    </row>
    <row r="17" spans="1:19" ht="13.5" thickBot="1">
      <c r="A17" s="86" t="s">
        <v>66</v>
      </c>
      <c r="B17" s="86" t="s">
        <v>67</v>
      </c>
      <c r="C17" s="35">
        <v>50631.36</v>
      </c>
      <c r="D17" s="35">
        <v>51344.5</v>
      </c>
      <c r="E17" s="35">
        <v>54196.97</v>
      </c>
      <c r="F17" s="35">
        <f>SUBTOTAL(9,C17:E17)</f>
        <v>156172.83000000002</v>
      </c>
      <c r="G17" s="35">
        <v>55623.2</v>
      </c>
      <c r="H17" s="35">
        <v>57762.54</v>
      </c>
      <c r="I17" s="35">
        <v>59188.8</v>
      </c>
      <c r="J17" s="35">
        <f>SUBTOTAL(9,G17:I17)</f>
        <v>172574.53999999998</v>
      </c>
      <c r="K17" s="35">
        <v>60615.03</v>
      </c>
      <c r="L17" s="35">
        <v>62041.27</v>
      </c>
      <c r="M17" s="35">
        <v>63467.51</v>
      </c>
      <c r="N17" s="35">
        <f>SUBTOTAL(9,K17:M17)</f>
        <v>186123.81</v>
      </c>
      <c r="O17" s="35">
        <v>64893.73</v>
      </c>
      <c r="P17" s="35">
        <v>66319.97</v>
      </c>
      <c r="Q17" s="35">
        <v>67033.09</v>
      </c>
      <c r="R17" s="35">
        <f>SUBTOTAL(9,O17:Q17)</f>
        <v>198246.79</v>
      </c>
      <c r="S17" s="35">
        <f>SUBTOTAL(9,C17:R17)</f>
        <v>713117.97</v>
      </c>
    </row>
    <row r="18" spans="1:19" ht="13.5" thickBot="1">
      <c r="A18" s="90" t="s">
        <v>68</v>
      </c>
      <c r="B18" s="90" t="s">
        <v>69</v>
      </c>
      <c r="C18" s="20">
        <v>64703.63</v>
      </c>
      <c r="D18" s="20">
        <v>65614.98</v>
      </c>
      <c r="E18" s="20">
        <v>69260.25</v>
      </c>
      <c r="F18" s="20">
        <f>SUBTOTAL(9,C18:E18)</f>
        <v>199578.86</v>
      </c>
      <c r="G18" s="20">
        <v>71082.87</v>
      </c>
      <c r="H18" s="20">
        <v>73816.83</v>
      </c>
      <c r="I18" s="20">
        <v>75639.49</v>
      </c>
      <c r="J18" s="20">
        <f>SUBTOTAL(9,G18:I18)</f>
        <v>220539.19</v>
      </c>
      <c r="K18" s="20">
        <v>77462.12</v>
      </c>
      <c r="L18" s="20">
        <v>79284.74</v>
      </c>
      <c r="M18" s="20">
        <v>81107.4</v>
      </c>
      <c r="N18" s="20">
        <f>SUBTOTAL(9,K18:M18)</f>
        <v>237854.25999999998</v>
      </c>
      <c r="O18" s="20">
        <v>82930.01</v>
      </c>
      <c r="P18" s="20">
        <v>84752.68</v>
      </c>
      <c r="Q18" s="20">
        <v>85663.98</v>
      </c>
      <c r="R18" s="20">
        <f>SUBTOTAL(9,O18:Q18)</f>
        <v>253346.66999999998</v>
      </c>
      <c r="S18" s="20">
        <f>SUBTOTAL(9,C18:R18)</f>
        <v>911318.98</v>
      </c>
    </row>
    <row r="19" spans="1:19" ht="13.5" thickBot="1">
      <c r="A19" s="86" t="s">
        <v>70</v>
      </c>
      <c r="B19" s="86" t="s">
        <v>71</v>
      </c>
      <c r="C19" s="35">
        <v>38140.21</v>
      </c>
      <c r="D19" s="35">
        <v>38677.39</v>
      </c>
      <c r="E19" s="35">
        <v>40826.13</v>
      </c>
      <c r="F19" s="35">
        <f>SUBTOTAL(9,C19:E19)</f>
        <v>117643.73000000001</v>
      </c>
      <c r="G19" s="35">
        <v>41900.51</v>
      </c>
      <c r="H19" s="35">
        <v>43512.07</v>
      </c>
      <c r="I19" s="35">
        <v>44586.45</v>
      </c>
      <c r="J19" s="35">
        <f>SUBTOTAL(9,G19:I19)</f>
        <v>129999.03</v>
      </c>
      <c r="K19" s="35">
        <v>45660.81</v>
      </c>
      <c r="L19" s="35">
        <v>46735.17</v>
      </c>
      <c r="M19" s="35">
        <v>47809.55</v>
      </c>
      <c r="N19" s="35">
        <f>SUBTOTAL(9,K19:M19)</f>
        <v>140205.53</v>
      </c>
      <c r="O19" s="35">
        <v>48883.93</v>
      </c>
      <c r="P19" s="35">
        <v>49958.31</v>
      </c>
      <c r="Q19" s="35">
        <v>50495.49</v>
      </c>
      <c r="R19" s="35">
        <f>SUBTOTAL(9,O19:Q19)</f>
        <v>149337.72999999998</v>
      </c>
      <c r="S19" s="35">
        <f>SUBTOTAL(9,C19:R19)</f>
        <v>537186.02</v>
      </c>
    </row>
    <row r="20" spans="1:19" ht="13.5" thickBot="1">
      <c r="A20" s="90" t="s">
        <v>72</v>
      </c>
      <c r="B20" s="90" t="s">
        <v>73</v>
      </c>
      <c r="C20" s="20">
        <v>22624.51</v>
      </c>
      <c r="D20" s="20">
        <v>22943.17</v>
      </c>
      <c r="E20" s="20">
        <v>24217.77</v>
      </c>
      <c r="F20" s="20">
        <f>SUBTOTAL(9,C20:E20)</f>
        <v>69785.45</v>
      </c>
      <c r="G20" s="20">
        <v>24855.08</v>
      </c>
      <c r="H20" s="20">
        <v>25811.06</v>
      </c>
      <c r="I20" s="20">
        <v>26448.37</v>
      </c>
      <c r="J20" s="20">
        <f>SUBTOTAL(9,G20:I20)</f>
        <v>77114.51</v>
      </c>
      <c r="K20" s="20">
        <v>27085.66</v>
      </c>
      <c r="L20" s="20">
        <v>27722.98</v>
      </c>
      <c r="M20" s="20">
        <v>28360.29</v>
      </c>
      <c r="N20" s="20">
        <f>SUBTOTAL(9,K20:M20)</f>
        <v>83168.93</v>
      </c>
      <c r="O20" s="20">
        <v>28997.61</v>
      </c>
      <c r="P20" s="20">
        <v>29634.92</v>
      </c>
      <c r="Q20" s="20">
        <v>29953.58</v>
      </c>
      <c r="R20" s="20">
        <f>SUBTOTAL(9,O20:Q20)</f>
        <v>88586.11</v>
      </c>
      <c r="S20" s="20">
        <f>SUBTOTAL(9,C20:R20)</f>
        <v>318655</v>
      </c>
    </row>
    <row r="21" spans="1:19" ht="12.75">
      <c r="A21" s="36" t="s">
        <v>28</v>
      </c>
      <c r="B21" s="36" t="s">
        <v>134</v>
      </c>
      <c r="C21" s="93">
        <f aca="true" t="shared" si="1" ref="C21:S21">SUM(C16:C20)</f>
        <v>176099.71</v>
      </c>
      <c r="D21" s="93">
        <f t="shared" si="1"/>
        <v>178580.03999999998</v>
      </c>
      <c r="E21" s="93">
        <f t="shared" si="1"/>
        <v>188501.12</v>
      </c>
      <c r="F21" s="93">
        <f t="shared" si="1"/>
        <v>543180.87</v>
      </c>
      <c r="G21" s="93">
        <f t="shared" si="1"/>
        <v>193461.65999999997</v>
      </c>
      <c r="H21" s="93">
        <f t="shared" si="1"/>
        <v>200902.5</v>
      </c>
      <c r="I21" s="93">
        <f t="shared" si="1"/>
        <v>205863.11</v>
      </c>
      <c r="J21" s="93">
        <f t="shared" si="1"/>
        <v>600227.27</v>
      </c>
      <c r="K21" s="93">
        <f t="shared" si="1"/>
        <v>210823.62</v>
      </c>
      <c r="L21" s="93">
        <f t="shared" si="1"/>
        <v>215784.16</v>
      </c>
      <c r="M21" s="93">
        <f t="shared" si="1"/>
        <v>220744.75000000003</v>
      </c>
      <c r="N21" s="93">
        <f t="shared" si="1"/>
        <v>647352.53</v>
      </c>
      <c r="O21" s="93">
        <f t="shared" si="1"/>
        <v>225705.27999999997</v>
      </c>
      <c r="P21" s="93">
        <f t="shared" si="1"/>
        <v>230665.88</v>
      </c>
      <c r="Q21" s="93">
        <f t="shared" si="1"/>
        <v>233146.14</v>
      </c>
      <c r="R21" s="93">
        <f t="shared" si="1"/>
        <v>689517.2999999999</v>
      </c>
      <c r="S21" s="93">
        <f t="shared" si="1"/>
        <v>2480277.9699999997</v>
      </c>
    </row>
    <row r="22" ht="3" customHeight="1"/>
    <row r="23" spans="1:19" ht="12.75">
      <c r="A23" s="5" t="s">
        <v>74</v>
      </c>
      <c r="B23" s="5"/>
      <c r="C23" s="96">
        <f aca="true" t="shared" si="2" ref="C23:S23">REV_Total-COS_Total</f>
        <v>276497.07000000007</v>
      </c>
      <c r="D23" s="96">
        <f t="shared" si="2"/>
        <v>280391.38</v>
      </c>
      <c r="E23" s="96">
        <f t="shared" si="2"/>
        <v>295968.71</v>
      </c>
      <c r="F23" s="96">
        <f t="shared" si="2"/>
        <v>852857.16</v>
      </c>
      <c r="G23" s="96">
        <f t="shared" si="2"/>
        <v>303757.4</v>
      </c>
      <c r="H23" s="96">
        <f t="shared" si="2"/>
        <v>315440.29</v>
      </c>
      <c r="I23" s="96">
        <f t="shared" si="2"/>
        <v>323228.93000000005</v>
      </c>
      <c r="J23" s="96">
        <f t="shared" si="2"/>
        <v>942426.6200000001</v>
      </c>
      <c r="K23" s="96">
        <f t="shared" si="2"/>
        <v>331017.64</v>
      </c>
      <c r="L23" s="96">
        <f t="shared" si="2"/>
        <v>338806.27</v>
      </c>
      <c r="M23" s="96">
        <f t="shared" si="2"/>
        <v>346594.98</v>
      </c>
      <c r="N23" s="96">
        <f t="shared" si="2"/>
        <v>1016418.8899999999</v>
      </c>
      <c r="O23" s="96">
        <f t="shared" si="2"/>
        <v>354383.56</v>
      </c>
      <c r="P23" s="96">
        <f t="shared" si="2"/>
        <v>362172.22</v>
      </c>
      <c r="Q23" s="96">
        <f t="shared" si="2"/>
        <v>366066.56999999995</v>
      </c>
      <c r="R23" s="96">
        <f t="shared" si="2"/>
        <v>1082622.35</v>
      </c>
      <c r="S23" s="96">
        <f t="shared" si="2"/>
        <v>3894325.0200000005</v>
      </c>
    </row>
    <row r="24" ht="1.5" customHeight="1"/>
    <row r="25" spans="1:2" ht="12.75">
      <c r="A25" s="15" t="s">
        <v>135</v>
      </c>
      <c r="B25" s="15"/>
    </row>
    <row r="26" spans="1:19" ht="13.5" thickBot="1">
      <c r="A26" s="86" t="s">
        <v>76</v>
      </c>
      <c r="B26" s="86" t="s">
        <v>77</v>
      </c>
      <c r="C26" s="35">
        <v>-113060.32</v>
      </c>
      <c r="D26" s="35">
        <v>-114652.72</v>
      </c>
      <c r="E26" s="35">
        <v>-121022.32</v>
      </c>
      <c r="F26" s="35">
        <f aca="true" t="shared" si="3" ref="F26:F35">SUBTOTAL(9,C26:E26)</f>
        <v>-348735.36</v>
      </c>
      <c r="G26" s="35">
        <v>-124207.1</v>
      </c>
      <c r="H26" s="35">
        <v>-128984.31</v>
      </c>
      <c r="I26" s="35">
        <v>-132169.13</v>
      </c>
      <c r="J26" s="35">
        <f aca="true" t="shared" si="4" ref="J26:J35">SUBTOTAL(9,G26:I26)</f>
        <v>-385360.54000000004</v>
      </c>
      <c r="K26" s="35">
        <v>-135353.91</v>
      </c>
      <c r="L26" s="35">
        <v>-138538.74</v>
      </c>
      <c r="M26" s="35">
        <v>-141723.45</v>
      </c>
      <c r="N26" s="35">
        <f aca="true" t="shared" si="5" ref="N26:N35">SUBTOTAL(9,K26:M26)</f>
        <v>-415616.10000000003</v>
      </c>
      <c r="O26" s="35">
        <v>-144908.34</v>
      </c>
      <c r="P26" s="35">
        <v>-148093.12</v>
      </c>
      <c r="Q26" s="35">
        <v>-149685.48</v>
      </c>
      <c r="R26" s="35">
        <f aca="true" t="shared" si="6" ref="R26:R35">SUBTOTAL(9,O26:Q26)</f>
        <v>-442686.93999999994</v>
      </c>
      <c r="S26" s="35">
        <f aca="true" t="shared" si="7" ref="S26:S35">SUBTOTAL(9,C26:R26)</f>
        <v>-1592398.94</v>
      </c>
    </row>
    <row r="27" spans="1:19" ht="13.5" thickBot="1">
      <c r="A27" s="90" t="s">
        <v>78</v>
      </c>
      <c r="B27" s="90" t="s">
        <v>79</v>
      </c>
      <c r="C27" s="20">
        <v>4011.14</v>
      </c>
      <c r="D27" s="20">
        <v>4067.64</v>
      </c>
      <c r="E27" s="20">
        <v>4293.62</v>
      </c>
      <c r="F27" s="20">
        <f t="shared" si="3"/>
        <v>12372.4</v>
      </c>
      <c r="G27" s="20">
        <v>4406.61</v>
      </c>
      <c r="H27" s="20">
        <v>4576.09</v>
      </c>
      <c r="I27" s="20">
        <v>4689.08</v>
      </c>
      <c r="J27" s="20">
        <f t="shared" si="4"/>
        <v>13671.78</v>
      </c>
      <c r="K27" s="20">
        <v>4802.07</v>
      </c>
      <c r="L27" s="20">
        <v>4915.07</v>
      </c>
      <c r="M27" s="20">
        <v>5028.06</v>
      </c>
      <c r="N27" s="20">
        <f t="shared" si="5"/>
        <v>14745.2</v>
      </c>
      <c r="O27" s="20">
        <v>5141.04</v>
      </c>
      <c r="P27" s="20">
        <v>5254.03</v>
      </c>
      <c r="Q27" s="20">
        <v>5310.53</v>
      </c>
      <c r="R27" s="20">
        <f t="shared" si="6"/>
        <v>15705.599999999999</v>
      </c>
      <c r="S27" s="20">
        <f t="shared" si="7"/>
        <v>56494.979999999996</v>
      </c>
    </row>
    <row r="28" spans="1:19" ht="13.5" thickBot="1">
      <c r="A28" s="86" t="s">
        <v>80</v>
      </c>
      <c r="B28" s="86" t="s">
        <v>136</v>
      </c>
      <c r="C28" s="35">
        <v>6202.81</v>
      </c>
      <c r="D28" s="35">
        <v>6290.22</v>
      </c>
      <c r="E28" s="35">
        <v>6639.63</v>
      </c>
      <c r="F28" s="35">
        <f t="shared" si="3"/>
        <v>19132.66</v>
      </c>
      <c r="G28" s="35">
        <v>6814.38</v>
      </c>
      <c r="H28" s="35">
        <v>7076.46</v>
      </c>
      <c r="I28" s="35">
        <v>7251.2</v>
      </c>
      <c r="J28" s="35">
        <f t="shared" si="4"/>
        <v>21142.04</v>
      </c>
      <c r="K28" s="35">
        <v>7425.95</v>
      </c>
      <c r="L28" s="35">
        <v>7600.7</v>
      </c>
      <c r="M28" s="35">
        <v>7775.42</v>
      </c>
      <c r="N28" s="35">
        <f t="shared" si="5"/>
        <v>22802.07</v>
      </c>
      <c r="O28" s="35">
        <v>7950.09</v>
      </c>
      <c r="P28" s="35">
        <v>8124.84</v>
      </c>
      <c r="Q28" s="35">
        <v>8212.25</v>
      </c>
      <c r="R28" s="35">
        <f t="shared" si="6"/>
        <v>24287.18</v>
      </c>
      <c r="S28" s="35">
        <f t="shared" si="7"/>
        <v>87363.94999999998</v>
      </c>
    </row>
    <row r="29" spans="1:19" ht="13.5" thickBot="1">
      <c r="A29" s="90" t="s">
        <v>82</v>
      </c>
      <c r="B29" s="90" t="s">
        <v>137</v>
      </c>
      <c r="C29" s="20">
        <v>17453.44</v>
      </c>
      <c r="D29" s="20">
        <v>17699.27</v>
      </c>
      <c r="E29" s="20">
        <v>18682.55</v>
      </c>
      <c r="F29" s="20">
        <f t="shared" si="3"/>
        <v>53835.259999999995</v>
      </c>
      <c r="G29" s="20">
        <v>19174.18</v>
      </c>
      <c r="H29" s="20">
        <v>19911.67</v>
      </c>
      <c r="I29" s="20">
        <v>20403.29</v>
      </c>
      <c r="J29" s="20">
        <f t="shared" si="4"/>
        <v>59489.14</v>
      </c>
      <c r="K29" s="20">
        <v>20894.96</v>
      </c>
      <c r="L29" s="20">
        <v>21386.62</v>
      </c>
      <c r="M29" s="20">
        <v>21878.24</v>
      </c>
      <c r="N29" s="20">
        <f t="shared" si="5"/>
        <v>64159.82000000001</v>
      </c>
      <c r="O29" s="20">
        <v>22369.9</v>
      </c>
      <c r="P29" s="20">
        <v>22861.52</v>
      </c>
      <c r="Q29" s="20">
        <v>23107.36</v>
      </c>
      <c r="R29" s="20">
        <f t="shared" si="6"/>
        <v>68338.78</v>
      </c>
      <c r="S29" s="20">
        <f t="shared" si="7"/>
        <v>245822.99999999994</v>
      </c>
    </row>
    <row r="30" spans="1:19" ht="13.5" thickBot="1">
      <c r="A30" s="86" t="s">
        <v>84</v>
      </c>
      <c r="B30" s="86" t="s">
        <v>138</v>
      </c>
      <c r="C30" s="35">
        <v>19428.44</v>
      </c>
      <c r="D30" s="35">
        <v>19702.08</v>
      </c>
      <c r="E30" s="35">
        <v>20796.64</v>
      </c>
      <c r="F30" s="35">
        <f t="shared" si="3"/>
        <v>59927.16</v>
      </c>
      <c r="G30" s="35">
        <v>21343.92</v>
      </c>
      <c r="H30" s="35">
        <v>22164.84</v>
      </c>
      <c r="I30" s="35">
        <v>22712.12</v>
      </c>
      <c r="J30" s="35">
        <f t="shared" si="4"/>
        <v>66220.87999999999</v>
      </c>
      <c r="K30" s="35">
        <v>23259.4</v>
      </c>
      <c r="L30" s="35">
        <v>23806.68</v>
      </c>
      <c r="M30" s="35">
        <v>24353.96</v>
      </c>
      <c r="N30" s="35">
        <f t="shared" si="5"/>
        <v>71420.04000000001</v>
      </c>
      <c r="O30" s="35">
        <v>24901.24</v>
      </c>
      <c r="P30" s="35">
        <v>25448.52</v>
      </c>
      <c r="Q30" s="35">
        <v>25722.16</v>
      </c>
      <c r="R30" s="35">
        <f t="shared" si="6"/>
        <v>76071.92</v>
      </c>
      <c r="S30" s="35">
        <f t="shared" si="7"/>
        <v>273639.99999999994</v>
      </c>
    </row>
    <row r="31" spans="1:19" ht="13.5" thickBot="1">
      <c r="A31" s="90" t="s">
        <v>94</v>
      </c>
      <c r="B31" s="90" t="s">
        <v>95</v>
      </c>
      <c r="C31" s="20">
        <v>5207.14</v>
      </c>
      <c r="D31" s="20">
        <v>5280.48</v>
      </c>
      <c r="E31" s="20">
        <v>5573.84</v>
      </c>
      <c r="F31" s="20">
        <f t="shared" si="3"/>
        <v>16061.46</v>
      </c>
      <c r="G31" s="20">
        <v>5720.52</v>
      </c>
      <c r="H31" s="20">
        <v>5940.54</v>
      </c>
      <c r="I31" s="20">
        <v>6087.22</v>
      </c>
      <c r="J31" s="20">
        <f t="shared" si="4"/>
        <v>17748.280000000002</v>
      </c>
      <c r="K31" s="20">
        <v>6233.9</v>
      </c>
      <c r="L31" s="20">
        <v>6380.58</v>
      </c>
      <c r="M31" s="20">
        <v>6527.26</v>
      </c>
      <c r="N31" s="20">
        <f t="shared" si="5"/>
        <v>19141.739999999998</v>
      </c>
      <c r="O31" s="20">
        <v>6673.94</v>
      </c>
      <c r="P31" s="20">
        <v>6820.62</v>
      </c>
      <c r="Q31" s="20">
        <v>6893.96</v>
      </c>
      <c r="R31" s="20">
        <f t="shared" si="6"/>
        <v>20388.52</v>
      </c>
      <c r="S31" s="20">
        <f t="shared" si="7"/>
        <v>73340.00000000001</v>
      </c>
    </row>
    <row r="32" spans="1:19" ht="13.5" thickBot="1">
      <c r="A32" s="86" t="s">
        <v>86</v>
      </c>
      <c r="B32" s="86" t="s">
        <v>139</v>
      </c>
      <c r="C32" s="35">
        <v>8247.84</v>
      </c>
      <c r="D32" s="35">
        <v>8364.02</v>
      </c>
      <c r="E32" s="35">
        <v>8828.68</v>
      </c>
      <c r="F32" s="35">
        <f t="shared" si="3"/>
        <v>25440.54</v>
      </c>
      <c r="G32" s="35">
        <v>9061.03</v>
      </c>
      <c r="H32" s="35">
        <v>9409.51</v>
      </c>
      <c r="I32" s="35">
        <v>9641.86</v>
      </c>
      <c r="J32" s="35">
        <f t="shared" si="4"/>
        <v>28112.4</v>
      </c>
      <c r="K32" s="35">
        <v>9874.2</v>
      </c>
      <c r="L32" s="35">
        <v>10106.53</v>
      </c>
      <c r="M32" s="35">
        <v>10338.88</v>
      </c>
      <c r="N32" s="35">
        <f t="shared" si="5"/>
        <v>30319.61</v>
      </c>
      <c r="O32" s="35">
        <v>10571.18</v>
      </c>
      <c r="P32" s="35">
        <v>10803.53</v>
      </c>
      <c r="Q32" s="35">
        <v>10919.71</v>
      </c>
      <c r="R32" s="35">
        <f t="shared" si="6"/>
        <v>32294.42</v>
      </c>
      <c r="S32" s="35">
        <f t="shared" si="7"/>
        <v>116166.97</v>
      </c>
    </row>
    <row r="33" spans="1:19" ht="13.5" thickBot="1">
      <c r="A33" s="90" t="s">
        <v>88</v>
      </c>
      <c r="B33" s="90" t="s">
        <v>89</v>
      </c>
      <c r="C33" s="20">
        <v>19955.9</v>
      </c>
      <c r="D33" s="20">
        <v>20236.95</v>
      </c>
      <c r="E33" s="20">
        <v>21361.24</v>
      </c>
      <c r="F33" s="20">
        <f t="shared" si="3"/>
        <v>61554.09000000001</v>
      </c>
      <c r="G33" s="20">
        <v>21923.4</v>
      </c>
      <c r="H33" s="20">
        <v>22766.59</v>
      </c>
      <c r="I33" s="20">
        <v>23328.74</v>
      </c>
      <c r="J33" s="20">
        <f t="shared" si="4"/>
        <v>68018.73000000001</v>
      </c>
      <c r="K33" s="20">
        <v>23890.86</v>
      </c>
      <c r="L33" s="20">
        <v>24452.99</v>
      </c>
      <c r="M33" s="20">
        <v>25015.14</v>
      </c>
      <c r="N33" s="20">
        <f t="shared" si="5"/>
        <v>73358.99</v>
      </c>
      <c r="O33" s="20">
        <v>25577.28</v>
      </c>
      <c r="P33" s="20">
        <v>26139.43</v>
      </c>
      <c r="Q33" s="20">
        <v>26420.49</v>
      </c>
      <c r="R33" s="20">
        <f t="shared" si="6"/>
        <v>78137.2</v>
      </c>
      <c r="S33" s="20">
        <f t="shared" si="7"/>
        <v>281069.01</v>
      </c>
    </row>
    <row r="34" spans="1:19" ht="13.5" thickBot="1">
      <c r="A34" s="86" t="s">
        <v>90</v>
      </c>
      <c r="B34" s="86" t="s">
        <v>91</v>
      </c>
      <c r="C34" s="35">
        <v>13890.65</v>
      </c>
      <c r="D34" s="35">
        <v>14086.29</v>
      </c>
      <c r="E34" s="35">
        <v>14868.86</v>
      </c>
      <c r="F34" s="35">
        <f t="shared" si="3"/>
        <v>42845.8</v>
      </c>
      <c r="G34" s="35">
        <v>15260.16</v>
      </c>
      <c r="H34" s="35">
        <v>15847.08</v>
      </c>
      <c r="I34" s="35">
        <v>16238.38</v>
      </c>
      <c r="J34" s="35">
        <f t="shared" si="4"/>
        <v>47345.619999999995</v>
      </c>
      <c r="K34" s="35">
        <v>16629.65</v>
      </c>
      <c r="L34" s="35">
        <v>17020.93</v>
      </c>
      <c r="M34" s="35">
        <v>17412.23</v>
      </c>
      <c r="N34" s="35">
        <f t="shared" si="5"/>
        <v>51062.81</v>
      </c>
      <c r="O34" s="35">
        <v>17803.51</v>
      </c>
      <c r="P34" s="35">
        <v>18194.81</v>
      </c>
      <c r="Q34" s="35">
        <v>18390.45</v>
      </c>
      <c r="R34" s="35">
        <f t="shared" si="6"/>
        <v>54388.770000000004</v>
      </c>
      <c r="S34" s="35">
        <f t="shared" si="7"/>
        <v>195643.00000000003</v>
      </c>
    </row>
    <row r="35" spans="1:19" ht="13.5" thickBot="1">
      <c r="A35" s="90" t="s">
        <v>92</v>
      </c>
      <c r="B35" s="90" t="s">
        <v>93</v>
      </c>
      <c r="C35" s="20">
        <v>3303.14</v>
      </c>
      <c r="D35" s="20">
        <v>3349.65</v>
      </c>
      <c r="E35" s="20">
        <v>3535.75</v>
      </c>
      <c r="F35" s="20">
        <f t="shared" si="3"/>
        <v>10188.54</v>
      </c>
      <c r="G35" s="20">
        <v>3628.8</v>
      </c>
      <c r="H35" s="20">
        <v>3768.36</v>
      </c>
      <c r="I35" s="20">
        <v>3861.42</v>
      </c>
      <c r="J35" s="20">
        <f t="shared" si="4"/>
        <v>11258.58</v>
      </c>
      <c r="K35" s="20">
        <v>3954.45</v>
      </c>
      <c r="L35" s="20">
        <v>4047.49</v>
      </c>
      <c r="M35" s="20">
        <v>4140.54</v>
      </c>
      <c r="N35" s="20">
        <f t="shared" si="5"/>
        <v>12142.48</v>
      </c>
      <c r="O35" s="20">
        <v>4233.6</v>
      </c>
      <c r="P35" s="20">
        <v>4326.64</v>
      </c>
      <c r="Q35" s="20">
        <v>4373.16</v>
      </c>
      <c r="R35" s="20">
        <f t="shared" si="6"/>
        <v>12933.400000000001</v>
      </c>
      <c r="S35" s="20">
        <f t="shared" si="7"/>
        <v>46523</v>
      </c>
    </row>
    <row r="36" spans="1:19" ht="12.75">
      <c r="A36" s="36" t="s">
        <v>28</v>
      </c>
      <c r="B36" s="36" t="s">
        <v>135</v>
      </c>
      <c r="C36" s="93">
        <f aca="true" t="shared" si="8" ref="C36:S36">SUM(C25:C35)</f>
        <v>-15359.820000000007</v>
      </c>
      <c r="D36" s="93">
        <f t="shared" si="8"/>
        <v>-15576.119999999997</v>
      </c>
      <c r="E36" s="93">
        <f t="shared" si="8"/>
        <v>-16441.51000000001</v>
      </c>
      <c r="F36" s="93">
        <f t="shared" si="8"/>
        <v>-47377.44999999996</v>
      </c>
      <c r="G36" s="93">
        <f t="shared" si="8"/>
        <v>-16874.09999999999</v>
      </c>
      <c r="H36" s="93">
        <f t="shared" si="8"/>
        <v>-17523.17</v>
      </c>
      <c r="I36" s="93">
        <f t="shared" si="8"/>
        <v>-17955.82</v>
      </c>
      <c r="J36" s="93">
        <f t="shared" si="8"/>
        <v>-52353.09000000001</v>
      </c>
      <c r="K36" s="93">
        <f t="shared" si="8"/>
        <v>-18388.470000000005</v>
      </c>
      <c r="L36" s="93">
        <f t="shared" si="8"/>
        <v>-18821.14999999998</v>
      </c>
      <c r="M36" s="93">
        <f t="shared" si="8"/>
        <v>-19253.72000000002</v>
      </c>
      <c r="N36" s="93">
        <f t="shared" si="8"/>
        <v>-56463.34</v>
      </c>
      <c r="O36" s="93">
        <f t="shared" si="8"/>
        <v>-19686.559999999983</v>
      </c>
      <c r="P36" s="93">
        <f t="shared" si="8"/>
        <v>-20119.179999999997</v>
      </c>
      <c r="Q36" s="93">
        <f t="shared" si="8"/>
        <v>-20335.410000000003</v>
      </c>
      <c r="R36" s="93">
        <f t="shared" si="8"/>
        <v>-60141.150000000016</v>
      </c>
      <c r="S36" s="93">
        <f t="shared" si="8"/>
        <v>-216335.03000000003</v>
      </c>
    </row>
    <row r="37" ht="1.5" customHeight="1"/>
    <row r="38" spans="1:2" ht="12.75">
      <c r="A38" s="15" t="s">
        <v>140</v>
      </c>
      <c r="B38" s="15"/>
    </row>
    <row r="39" spans="1:19" ht="13.5" thickBot="1">
      <c r="A39" s="86" t="s">
        <v>141</v>
      </c>
      <c r="B39" s="86" t="s">
        <v>142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</row>
    <row r="40" spans="1:19" ht="12.75">
      <c r="A40" s="98" t="s">
        <v>28</v>
      </c>
      <c r="B40" s="98" t="s">
        <v>140</v>
      </c>
      <c r="C40" s="99">
        <f aca="true" t="shared" si="9" ref="C40:S40">SUM(C38:C39)</f>
        <v>0</v>
      </c>
      <c r="D40" s="99">
        <f t="shared" si="9"/>
        <v>0</v>
      </c>
      <c r="E40" s="99">
        <f t="shared" si="9"/>
        <v>0</v>
      </c>
      <c r="F40" s="99">
        <f t="shared" si="9"/>
        <v>0</v>
      </c>
      <c r="G40" s="99">
        <f t="shared" si="9"/>
        <v>0</v>
      </c>
      <c r="H40" s="99">
        <f t="shared" si="9"/>
        <v>0</v>
      </c>
      <c r="I40" s="99">
        <f t="shared" si="9"/>
        <v>0</v>
      </c>
      <c r="J40" s="99">
        <f t="shared" si="9"/>
        <v>0</v>
      </c>
      <c r="K40" s="99">
        <f t="shared" si="9"/>
        <v>0</v>
      </c>
      <c r="L40" s="99">
        <f t="shared" si="9"/>
        <v>0</v>
      </c>
      <c r="M40" s="99">
        <f t="shared" si="9"/>
        <v>0</v>
      </c>
      <c r="N40" s="99">
        <f t="shared" si="9"/>
        <v>0</v>
      </c>
      <c r="O40" s="99">
        <f t="shared" si="9"/>
        <v>0</v>
      </c>
      <c r="P40" s="99">
        <f t="shared" si="9"/>
        <v>0</v>
      </c>
      <c r="Q40" s="99">
        <f t="shared" si="9"/>
        <v>0</v>
      </c>
      <c r="R40" s="99">
        <f t="shared" si="9"/>
        <v>0</v>
      </c>
      <c r="S40" s="99">
        <f t="shared" si="9"/>
        <v>0</v>
      </c>
    </row>
    <row r="41" ht="1.5" customHeight="1"/>
    <row r="42" spans="1:2" ht="12.75">
      <c r="A42" s="15" t="s">
        <v>143</v>
      </c>
      <c r="B42" s="15"/>
    </row>
    <row r="43" spans="1:19" ht="13.5" thickBot="1">
      <c r="A43" s="86" t="s">
        <v>141</v>
      </c>
      <c r="B43" s="86" t="s">
        <v>142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</row>
    <row r="44" spans="1:19" ht="12.75">
      <c r="A44" s="98" t="s">
        <v>28</v>
      </c>
      <c r="B44" s="98" t="s">
        <v>143</v>
      </c>
      <c r="C44" s="99">
        <f aca="true" t="shared" si="10" ref="C44:S44">SUM(C42:C43)</f>
        <v>0</v>
      </c>
      <c r="D44" s="99">
        <f t="shared" si="10"/>
        <v>0</v>
      </c>
      <c r="E44" s="99">
        <f t="shared" si="10"/>
        <v>0</v>
      </c>
      <c r="F44" s="99">
        <f t="shared" si="10"/>
        <v>0</v>
      </c>
      <c r="G44" s="99">
        <f t="shared" si="10"/>
        <v>0</v>
      </c>
      <c r="H44" s="99">
        <f t="shared" si="10"/>
        <v>0</v>
      </c>
      <c r="I44" s="99">
        <f t="shared" si="10"/>
        <v>0</v>
      </c>
      <c r="J44" s="99">
        <f t="shared" si="10"/>
        <v>0</v>
      </c>
      <c r="K44" s="99">
        <f t="shared" si="10"/>
        <v>0</v>
      </c>
      <c r="L44" s="99">
        <f t="shared" si="10"/>
        <v>0</v>
      </c>
      <c r="M44" s="99">
        <f t="shared" si="10"/>
        <v>0</v>
      </c>
      <c r="N44" s="99">
        <f t="shared" si="10"/>
        <v>0</v>
      </c>
      <c r="O44" s="99">
        <f t="shared" si="10"/>
        <v>0</v>
      </c>
      <c r="P44" s="99">
        <f t="shared" si="10"/>
        <v>0</v>
      </c>
      <c r="Q44" s="99">
        <f t="shared" si="10"/>
        <v>0</v>
      </c>
      <c r="R44" s="99">
        <f t="shared" si="10"/>
        <v>0</v>
      </c>
      <c r="S44" s="99">
        <f t="shared" si="10"/>
        <v>0</v>
      </c>
    </row>
    <row r="45" ht="3" customHeight="1"/>
    <row r="46" spans="1:19" ht="12.75">
      <c r="A46" s="5" t="s">
        <v>144</v>
      </c>
      <c r="B46" s="5"/>
      <c r="C46" s="96">
        <f aca="true" t="shared" si="11" ref="C46:S46">(Gross_Profit_Calc+OI_Total)-OOE_Total-OE_Total</f>
        <v>291856.8900000001</v>
      </c>
      <c r="D46" s="96">
        <f t="shared" si="11"/>
        <v>295967.5</v>
      </c>
      <c r="E46" s="96">
        <f t="shared" si="11"/>
        <v>312410.22000000003</v>
      </c>
      <c r="F46" s="96">
        <f t="shared" si="11"/>
        <v>900234.61</v>
      </c>
      <c r="G46" s="96">
        <f t="shared" si="11"/>
        <v>320631.5</v>
      </c>
      <c r="H46" s="96">
        <f t="shared" si="11"/>
        <v>332963.45999999996</v>
      </c>
      <c r="I46" s="96">
        <f t="shared" si="11"/>
        <v>341184.75000000006</v>
      </c>
      <c r="J46" s="96">
        <f t="shared" si="11"/>
        <v>994779.7100000001</v>
      </c>
      <c r="K46" s="96">
        <f t="shared" si="11"/>
        <v>349406.11000000004</v>
      </c>
      <c r="L46" s="96">
        <f t="shared" si="11"/>
        <v>357627.42</v>
      </c>
      <c r="M46" s="96">
        <f t="shared" si="11"/>
        <v>365848.7</v>
      </c>
      <c r="N46" s="96">
        <f t="shared" si="11"/>
        <v>1072882.23</v>
      </c>
      <c r="O46" s="96">
        <f t="shared" si="11"/>
        <v>374070.12</v>
      </c>
      <c r="P46" s="96">
        <f t="shared" si="11"/>
        <v>382291.39999999997</v>
      </c>
      <c r="Q46" s="96">
        <f t="shared" si="11"/>
        <v>386401.98</v>
      </c>
      <c r="R46" s="96">
        <f t="shared" si="11"/>
        <v>1142763.5</v>
      </c>
      <c r="S46" s="96">
        <f t="shared" si="11"/>
        <v>4110660.0500000007</v>
      </c>
    </row>
    <row r="47" ht="1.5" customHeight="1"/>
    <row r="48" spans="1:2" ht="12.75">
      <c r="A48" s="15" t="s">
        <v>145</v>
      </c>
      <c r="B48" s="15"/>
    </row>
    <row r="49" spans="1:19" ht="13.5" thickBot="1">
      <c r="A49" s="86" t="s">
        <v>96</v>
      </c>
      <c r="B49" s="86" t="s">
        <v>97</v>
      </c>
      <c r="C49" s="35">
        <v>16088.69</v>
      </c>
      <c r="D49" s="35">
        <v>16315.19</v>
      </c>
      <c r="E49" s="35">
        <v>17221.67</v>
      </c>
      <c r="F49" s="35">
        <f>SUBTOTAL(9,C49:E49)</f>
        <v>49625.55</v>
      </c>
      <c r="G49" s="35">
        <v>17674.81</v>
      </c>
      <c r="H49" s="35">
        <v>18354.6</v>
      </c>
      <c r="I49" s="35">
        <v>18807.76</v>
      </c>
      <c r="J49" s="35">
        <f>SUBTOTAL(9,G49:I49)</f>
        <v>54837.17</v>
      </c>
      <c r="K49" s="35">
        <v>19261</v>
      </c>
      <c r="L49" s="35">
        <v>19714.21</v>
      </c>
      <c r="M49" s="35">
        <v>20167.4</v>
      </c>
      <c r="N49" s="35">
        <f>SUBTOTAL(9,K49:M49)</f>
        <v>59142.61</v>
      </c>
      <c r="O49" s="35">
        <v>20620.68</v>
      </c>
      <c r="P49" s="35">
        <v>21073.77</v>
      </c>
      <c r="Q49" s="35">
        <v>21300.33</v>
      </c>
      <c r="R49" s="35">
        <f>SUBTOTAL(9,O49:Q49)</f>
        <v>62994.78</v>
      </c>
      <c r="S49" s="35">
        <f>SUBTOTAL(9,C49:R49)</f>
        <v>226600.11</v>
      </c>
    </row>
    <row r="50" spans="1:19" ht="12.75">
      <c r="A50" s="98" t="s">
        <v>28</v>
      </c>
      <c r="B50" s="98" t="s">
        <v>145</v>
      </c>
      <c r="C50" s="99">
        <f aca="true" t="shared" si="12" ref="C50:S50">SUM(C48:C49)</f>
        <v>16088.69</v>
      </c>
      <c r="D50" s="99">
        <f t="shared" si="12"/>
        <v>16315.19</v>
      </c>
      <c r="E50" s="99">
        <f t="shared" si="12"/>
        <v>17221.67</v>
      </c>
      <c r="F50" s="99">
        <f t="shared" si="12"/>
        <v>49625.55</v>
      </c>
      <c r="G50" s="99">
        <f t="shared" si="12"/>
        <v>17674.81</v>
      </c>
      <c r="H50" s="99">
        <f t="shared" si="12"/>
        <v>18354.6</v>
      </c>
      <c r="I50" s="99">
        <f t="shared" si="12"/>
        <v>18807.76</v>
      </c>
      <c r="J50" s="99">
        <f t="shared" si="12"/>
        <v>54837.17</v>
      </c>
      <c r="K50" s="99">
        <f t="shared" si="12"/>
        <v>19261</v>
      </c>
      <c r="L50" s="99">
        <f t="shared" si="12"/>
        <v>19714.21</v>
      </c>
      <c r="M50" s="99">
        <f t="shared" si="12"/>
        <v>20167.4</v>
      </c>
      <c r="N50" s="99">
        <f t="shared" si="12"/>
        <v>59142.61</v>
      </c>
      <c r="O50" s="99">
        <f t="shared" si="12"/>
        <v>20620.68</v>
      </c>
      <c r="P50" s="99">
        <f t="shared" si="12"/>
        <v>21073.77</v>
      </c>
      <c r="Q50" s="99">
        <f t="shared" si="12"/>
        <v>21300.33</v>
      </c>
      <c r="R50" s="99">
        <f t="shared" si="12"/>
        <v>62994.78</v>
      </c>
      <c r="S50" s="99">
        <f t="shared" si="12"/>
        <v>226600.11</v>
      </c>
    </row>
    <row r="51" ht="3" customHeight="1"/>
    <row r="52" spans="1:19" ht="12.75">
      <c r="A52" s="5" t="s">
        <v>146</v>
      </c>
      <c r="B52" s="5"/>
      <c r="C52" s="96">
        <f aca="true" t="shared" si="13" ref="C52:S52">NetIncome_before_Tax-IT_Total</f>
        <v>275768.20000000007</v>
      </c>
      <c r="D52" s="96">
        <f t="shared" si="13"/>
        <v>279652.31</v>
      </c>
      <c r="E52" s="96">
        <f t="shared" si="13"/>
        <v>295188.55000000005</v>
      </c>
      <c r="F52" s="96">
        <f t="shared" si="13"/>
        <v>850609.0599999999</v>
      </c>
      <c r="G52" s="96">
        <f t="shared" si="13"/>
        <v>302956.69</v>
      </c>
      <c r="H52" s="96">
        <f t="shared" si="13"/>
        <v>314608.86</v>
      </c>
      <c r="I52" s="96">
        <f t="shared" si="13"/>
        <v>322376.99000000005</v>
      </c>
      <c r="J52" s="96">
        <f t="shared" si="13"/>
        <v>939942.54</v>
      </c>
      <c r="K52" s="96">
        <f t="shared" si="13"/>
        <v>330145.11000000004</v>
      </c>
      <c r="L52" s="96">
        <f t="shared" si="13"/>
        <v>337913.20999999996</v>
      </c>
      <c r="M52" s="96">
        <f t="shared" si="13"/>
        <v>345681.3</v>
      </c>
      <c r="N52" s="96">
        <f t="shared" si="13"/>
        <v>1013739.62</v>
      </c>
      <c r="O52" s="96">
        <f t="shared" si="13"/>
        <v>353449.44</v>
      </c>
      <c r="P52" s="96">
        <f t="shared" si="13"/>
        <v>361217.62999999995</v>
      </c>
      <c r="Q52" s="96">
        <f t="shared" si="13"/>
        <v>365101.64999999997</v>
      </c>
      <c r="R52" s="96">
        <f t="shared" si="13"/>
        <v>1079768.72</v>
      </c>
      <c r="S52" s="96">
        <f t="shared" si="13"/>
        <v>3884059.940000001</v>
      </c>
    </row>
    <row r="54" ht="12.75">
      <c r="A54" s="81" t="s">
        <v>312</v>
      </c>
    </row>
  </sheetData>
  <sheetProtection/>
  <printOptions/>
  <pageMargins left="0.37" right="0.25" top="0.72" bottom="1" header="0.5" footer="0.5"/>
  <pageSetup fitToWidth="2" horizontalDpi="300" verticalDpi="300" orientation="portrait" r:id="rId2"/>
  <headerFooter alignWithMargins="0">
    <oddFooter>&amp;C© Copyright, 2003, JaxWorks, All Rights Reserved.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JaxWorks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NeoToys by JaxWorks</dc:title>
  <dc:subject/>
  <dc:creator>JaxWorks</dc:creator>
  <cp:keywords/>
  <dc:description>© Copyright, 2005-2006, Jaxworks, All Rights Reserved.</dc:description>
  <cp:lastModifiedBy>Julia Sullivan</cp:lastModifiedBy>
  <cp:lastPrinted>2003-12-11T12:54:26Z</cp:lastPrinted>
  <dcterms:created xsi:type="dcterms:W3CDTF">2000-03-23T19:33:58Z</dcterms:created>
  <dcterms:modified xsi:type="dcterms:W3CDTF">2013-02-15T22:05:33Z</dcterms:modified>
  <cp:category/>
  <cp:version/>
  <cp:contentType/>
  <cp:contentStatus/>
</cp:coreProperties>
</file>