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90" windowHeight="12765" activeTab="2"/>
  </bookViews>
  <sheets>
    <sheet name="Initial Setup" sheetId="1" r:id="rId1"/>
    <sheet name="League Table" sheetId="2" r:id="rId2"/>
    <sheet name="Fixtures and Results" sheetId="3" r:id="rId3"/>
    <sheet name="Setting" sheetId="4" state="hidden" r:id="rId4"/>
    <sheet name="Deduction" sheetId="5" r:id="rId5"/>
  </sheets>
  <definedNames/>
  <calcPr fullCalcOnLoad="1"/>
</workbook>
</file>

<file path=xl/sharedStrings.xml><?xml version="1.0" encoding="utf-8"?>
<sst xmlns="http://schemas.openxmlformats.org/spreadsheetml/2006/main" count="903" uniqueCount="55">
  <si>
    <t>Arsenal</t>
  </si>
  <si>
    <t>Liverpool</t>
  </si>
  <si>
    <t>Chelsea</t>
  </si>
  <si>
    <t>Manchester United</t>
  </si>
  <si>
    <t>Team</t>
  </si>
  <si>
    <t>P</t>
  </si>
  <si>
    <t>W</t>
  </si>
  <si>
    <t>L</t>
  </si>
  <si>
    <t>D</t>
  </si>
  <si>
    <t>F</t>
  </si>
  <si>
    <t>A</t>
  </si>
  <si>
    <t>GD</t>
  </si>
  <si>
    <t>Pt</t>
  </si>
  <si>
    <t>R</t>
  </si>
  <si>
    <t>M</t>
  </si>
  <si>
    <t>GD Rank</t>
  </si>
  <si>
    <t>F Rank</t>
  </si>
  <si>
    <t>Last Year Position</t>
  </si>
  <si>
    <t>Pt Rank</t>
  </si>
  <si>
    <t>Last Year Rank</t>
  </si>
  <si>
    <t>Position</t>
  </si>
  <si>
    <t>HOME GAME</t>
  </si>
  <si>
    <t>AWAY GAME</t>
  </si>
  <si>
    <t>WEEK</t>
  </si>
  <si>
    <t>DATE</t>
  </si>
  <si>
    <t>TIME</t>
  </si>
  <si>
    <t>HOME</t>
  </si>
  <si>
    <t>SCORE</t>
  </si>
  <si>
    <t>AWAY</t>
  </si>
  <si>
    <t>LOCATION</t>
  </si>
  <si>
    <t>VISIT EXCELTEMPLATE.NET FOR MORE TEMPLATES AND UPDATES</t>
  </si>
  <si>
    <t>Pts</t>
  </si>
  <si>
    <t>Deduction</t>
  </si>
  <si>
    <t>No</t>
  </si>
  <si>
    <t>Club Name</t>
  </si>
  <si>
    <t>Number of Clubs</t>
  </si>
  <si>
    <t>Club Name entried here won't be processed</t>
  </si>
  <si>
    <t>ç</t>
  </si>
  <si>
    <t>WORLD FOOTBALL LEAGUE</t>
  </si>
  <si>
    <t>AC Milan</t>
  </si>
  <si>
    <t>Inter Milan</t>
  </si>
  <si>
    <t>Juventus</t>
  </si>
  <si>
    <t>AS Roma</t>
  </si>
  <si>
    <t>Barcelona</t>
  </si>
  <si>
    <t>Real Madrid</t>
  </si>
  <si>
    <t>Valencia</t>
  </si>
  <si>
    <t>Villareal</t>
  </si>
  <si>
    <t>Bayern Munich</t>
  </si>
  <si>
    <t>Ajax Amsterdam</t>
  </si>
  <si>
    <t>PSV Eindhoven</t>
  </si>
  <si>
    <t>Lyon</t>
  </si>
  <si>
    <t>Olympiakos</t>
  </si>
  <si>
    <t>Glasgow Celtic</t>
  </si>
  <si>
    <t>Glasgow Ranger</t>
  </si>
  <si>
    <t>Marseille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</si>
</sst>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_);[Red]\(0.0\)"/>
    <numFmt numFmtId="166" formatCode="0_);[Red]\(0\)"/>
    <numFmt numFmtId="167" formatCode="[$-409]dddd\,\ mmmm\ dd\,\ yyyy"/>
    <numFmt numFmtId="168" formatCode="[$-409]d\-mmm\-yy;@"/>
    <numFmt numFmtId="169" formatCode="[$-409]h:mm:ss\ AM/PM"/>
    <numFmt numFmtId="170" formatCode="h:mm;@"/>
  </numFmts>
  <fonts count="49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Verdana"/>
      <family val="2"/>
    </font>
    <font>
      <sz val="10"/>
      <name val="Verdana"/>
      <family val="2"/>
    </font>
    <font>
      <sz val="10"/>
      <color indexed="9"/>
      <name val="Wingdings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" fontId="1" fillId="0" borderId="0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" fontId="1" fillId="0" borderId="0" xfId="0" applyNumberFormat="1" applyFont="1" applyFill="1" applyBorder="1" applyAlignment="1" applyProtection="1">
      <alignment horizontal="center" vertical="top"/>
      <protection locked="0"/>
    </xf>
    <xf numFmtId="2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top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3" fillId="33" borderId="0" xfId="0" applyFont="1" applyFill="1" applyAlignment="1">
      <alignment vertical="center"/>
    </xf>
    <xf numFmtId="0" fontId="14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3" fillId="35" borderId="0" xfId="0" applyFont="1" applyFill="1" applyAlignment="1" applyProtection="1">
      <alignment vertical="center"/>
      <protection locked="0"/>
    </xf>
    <xf numFmtId="0" fontId="1" fillId="35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53" applyFont="1" applyAlignment="1" applyProtection="1">
      <alignment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35" borderId="23" xfId="53" applyFont="1" applyFill="1" applyBorder="1" applyAlignment="1" applyProtection="1">
      <alignment horizontal="center" vertical="center"/>
      <protection/>
    </xf>
    <xf numFmtId="0" fontId="7" fillId="35" borderId="24" xfId="53" applyFont="1" applyFill="1" applyBorder="1" applyAlignment="1" applyProtection="1">
      <alignment horizontal="center" vertical="center"/>
      <protection/>
    </xf>
    <xf numFmtId="0" fontId="7" fillId="35" borderId="25" xfId="53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 patternType="solid">
          <bgColor indexed="57"/>
        </patternFill>
      </fill>
    </dxf>
    <dxf>
      <font>
        <b/>
        <i val="0"/>
        <color auto="1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18.57421875" style="25" bestFit="1" customWidth="1"/>
    <col min="2" max="2" width="8.28125" style="25" customWidth="1"/>
    <col min="3" max="3" width="3.28125" style="25" customWidth="1"/>
    <col min="4" max="4" width="4.421875" style="25" customWidth="1"/>
    <col min="5" max="5" width="21.8515625" style="25" bestFit="1" customWidth="1"/>
    <col min="6" max="6" width="9.140625" style="25" customWidth="1"/>
    <col min="7" max="7" width="43.28125" style="25" bestFit="1" customWidth="1"/>
    <col min="8" max="16384" width="9.140625" style="25" customWidth="1"/>
  </cols>
  <sheetData>
    <row r="1" ht="13.5" thickBot="1"/>
    <row r="2" spans="1:10" s="26" customFormat="1" ht="22.5" customHeight="1" thickBot="1">
      <c r="A2" s="42" t="s">
        <v>35</v>
      </c>
      <c r="B2" s="43">
        <v>20</v>
      </c>
      <c r="C2" s="42"/>
      <c r="D2" s="44" t="s">
        <v>33</v>
      </c>
      <c r="E2" s="45" t="s">
        <v>34</v>
      </c>
      <c r="F2" s="37"/>
      <c r="G2" s="37"/>
      <c r="H2" s="38"/>
      <c r="I2" s="38"/>
      <c r="J2" s="39"/>
    </row>
    <row r="3" spans="4:10" ht="12.75">
      <c r="D3" s="35">
        <v>1</v>
      </c>
      <c r="E3" s="40" t="s">
        <v>39</v>
      </c>
      <c r="F3" s="28" t="s">
        <v>37</v>
      </c>
      <c r="G3" s="29" t="s">
        <v>36</v>
      </c>
      <c r="H3" s="27"/>
      <c r="I3" s="27"/>
      <c r="J3" s="30"/>
    </row>
    <row r="4" spans="4:10" ht="12.75">
      <c r="D4" s="35">
        <f aca="true" t="shared" si="0" ref="D4:D26">IF(D3&lt;&gt;"",IF(D3=$B$2,"",D3+1),"")</f>
        <v>2</v>
      </c>
      <c r="E4" s="40" t="s">
        <v>40</v>
      </c>
      <c r="F4" s="28" t="s">
        <v>37</v>
      </c>
      <c r="G4" s="29" t="s">
        <v>36</v>
      </c>
      <c r="H4" s="27"/>
      <c r="I4" s="27"/>
      <c r="J4" s="30"/>
    </row>
    <row r="5" spans="4:10" ht="12.75">
      <c r="D5" s="35">
        <f t="shared" si="0"/>
        <v>3</v>
      </c>
      <c r="E5" s="40" t="s">
        <v>41</v>
      </c>
      <c r="F5" s="28" t="s">
        <v>37</v>
      </c>
      <c r="G5" s="29" t="s">
        <v>36</v>
      </c>
      <c r="H5" s="27"/>
      <c r="I5" s="27"/>
      <c r="J5" s="30"/>
    </row>
    <row r="6" spans="4:10" ht="12.75">
      <c r="D6" s="35">
        <f t="shared" si="0"/>
        <v>4</v>
      </c>
      <c r="E6" s="40" t="s">
        <v>42</v>
      </c>
      <c r="F6" s="28" t="s">
        <v>37</v>
      </c>
      <c r="G6" s="29" t="s">
        <v>36</v>
      </c>
      <c r="H6" s="27"/>
      <c r="I6" s="27"/>
      <c r="J6" s="30"/>
    </row>
    <row r="7" spans="4:10" ht="12.75">
      <c r="D7" s="35">
        <f t="shared" si="0"/>
        <v>5</v>
      </c>
      <c r="E7" s="40" t="s">
        <v>3</v>
      </c>
      <c r="F7" s="28" t="s">
        <v>37</v>
      </c>
      <c r="G7" s="29" t="s">
        <v>36</v>
      </c>
      <c r="H7" s="27"/>
      <c r="I7" s="27"/>
      <c r="J7" s="30"/>
    </row>
    <row r="8" spans="4:10" ht="12.75">
      <c r="D8" s="35">
        <f t="shared" si="0"/>
        <v>6</v>
      </c>
      <c r="E8" s="40" t="s">
        <v>2</v>
      </c>
      <c r="F8" s="28" t="s">
        <v>37</v>
      </c>
      <c r="G8" s="29" t="s">
        <v>36</v>
      </c>
      <c r="H8" s="27"/>
      <c r="I8" s="27"/>
      <c r="J8" s="30"/>
    </row>
    <row r="9" spans="4:10" ht="12.75">
      <c r="D9" s="35">
        <f t="shared" si="0"/>
        <v>7</v>
      </c>
      <c r="E9" s="40" t="s">
        <v>0</v>
      </c>
      <c r="F9" s="28" t="s">
        <v>37</v>
      </c>
      <c r="G9" s="29" t="s">
        <v>36</v>
      </c>
      <c r="H9" s="27"/>
      <c r="I9" s="27"/>
      <c r="J9" s="30"/>
    </row>
    <row r="10" spans="4:10" ht="12.75">
      <c r="D10" s="35">
        <f t="shared" si="0"/>
        <v>8</v>
      </c>
      <c r="E10" s="40" t="s">
        <v>1</v>
      </c>
      <c r="F10" s="28" t="s">
        <v>37</v>
      </c>
      <c r="G10" s="29" t="s">
        <v>36</v>
      </c>
      <c r="H10" s="27"/>
      <c r="I10" s="27"/>
      <c r="J10" s="30"/>
    </row>
    <row r="11" spans="4:10" ht="12.75">
      <c r="D11" s="35">
        <f t="shared" si="0"/>
        <v>9</v>
      </c>
      <c r="E11" s="40" t="s">
        <v>43</v>
      </c>
      <c r="F11" s="28" t="s">
        <v>37</v>
      </c>
      <c r="G11" s="29" t="s">
        <v>36</v>
      </c>
      <c r="H11" s="27"/>
      <c r="I11" s="27"/>
      <c r="J11" s="30"/>
    </row>
    <row r="12" spans="4:10" ht="12.75">
      <c r="D12" s="35">
        <f t="shared" si="0"/>
        <v>10</v>
      </c>
      <c r="E12" s="40" t="s">
        <v>44</v>
      </c>
      <c r="F12" s="28" t="s">
        <v>37</v>
      </c>
      <c r="G12" s="29" t="s">
        <v>36</v>
      </c>
      <c r="H12" s="27"/>
      <c r="I12" s="27"/>
      <c r="J12" s="30"/>
    </row>
    <row r="13" spans="4:10" ht="12.75">
      <c r="D13" s="35">
        <f t="shared" si="0"/>
        <v>11</v>
      </c>
      <c r="E13" s="40" t="s">
        <v>45</v>
      </c>
      <c r="F13" s="28" t="s">
        <v>37</v>
      </c>
      <c r="G13" s="29" t="s">
        <v>36</v>
      </c>
      <c r="H13" s="27"/>
      <c r="I13" s="27"/>
      <c r="J13" s="30"/>
    </row>
    <row r="14" spans="4:10" ht="12.75">
      <c r="D14" s="35">
        <f t="shared" si="0"/>
        <v>12</v>
      </c>
      <c r="E14" s="40" t="s">
        <v>46</v>
      </c>
      <c r="F14" s="28" t="s">
        <v>37</v>
      </c>
      <c r="G14" s="29" t="s">
        <v>36</v>
      </c>
      <c r="H14" s="27"/>
      <c r="I14" s="27"/>
      <c r="J14" s="30"/>
    </row>
    <row r="15" spans="4:10" ht="12.75">
      <c r="D15" s="35">
        <f t="shared" si="0"/>
        <v>13</v>
      </c>
      <c r="E15" s="40" t="s">
        <v>47</v>
      </c>
      <c r="F15" s="28" t="s">
        <v>37</v>
      </c>
      <c r="G15" s="29" t="s">
        <v>36</v>
      </c>
      <c r="H15" s="27"/>
      <c r="I15" s="27"/>
      <c r="J15" s="30"/>
    </row>
    <row r="16" spans="4:10" ht="12.75">
      <c r="D16" s="35">
        <f t="shared" si="0"/>
        <v>14</v>
      </c>
      <c r="E16" s="40" t="s">
        <v>48</v>
      </c>
      <c r="F16" s="28" t="s">
        <v>37</v>
      </c>
      <c r="G16" s="29" t="s">
        <v>36</v>
      </c>
      <c r="H16" s="27"/>
      <c r="I16" s="27"/>
      <c r="J16" s="30"/>
    </row>
    <row r="17" spans="4:10" ht="12.75">
      <c r="D17" s="35">
        <f t="shared" si="0"/>
        <v>15</v>
      </c>
      <c r="E17" s="40" t="s">
        <v>49</v>
      </c>
      <c r="F17" s="28" t="s">
        <v>37</v>
      </c>
      <c r="G17" s="29" t="s">
        <v>36</v>
      </c>
      <c r="H17" s="27"/>
      <c r="I17" s="27"/>
      <c r="J17" s="30"/>
    </row>
    <row r="18" spans="4:10" ht="12.75">
      <c r="D18" s="35">
        <f t="shared" si="0"/>
        <v>16</v>
      </c>
      <c r="E18" s="40" t="s">
        <v>50</v>
      </c>
      <c r="F18" s="28" t="s">
        <v>37</v>
      </c>
      <c r="G18" s="29" t="s">
        <v>36</v>
      </c>
      <c r="H18" s="27"/>
      <c r="I18" s="27"/>
      <c r="J18" s="30"/>
    </row>
    <row r="19" spans="4:10" ht="12.75">
      <c r="D19" s="35">
        <f t="shared" si="0"/>
        <v>17</v>
      </c>
      <c r="E19" s="40" t="s">
        <v>51</v>
      </c>
      <c r="F19" s="28" t="s">
        <v>37</v>
      </c>
      <c r="G19" s="29" t="s">
        <v>36</v>
      </c>
      <c r="H19" s="27"/>
      <c r="I19" s="27"/>
      <c r="J19" s="30"/>
    </row>
    <row r="20" spans="4:10" ht="12.75">
      <c r="D20" s="35">
        <f t="shared" si="0"/>
        <v>18</v>
      </c>
      <c r="E20" s="40" t="s">
        <v>54</v>
      </c>
      <c r="F20" s="28" t="s">
        <v>37</v>
      </c>
      <c r="G20" s="29" t="s">
        <v>36</v>
      </c>
      <c r="H20" s="27"/>
      <c r="I20" s="27"/>
      <c r="J20" s="30"/>
    </row>
    <row r="21" spans="4:10" ht="12.75">
      <c r="D21" s="35">
        <f t="shared" si="0"/>
        <v>19</v>
      </c>
      <c r="E21" s="40" t="s">
        <v>52</v>
      </c>
      <c r="F21" s="28" t="s">
        <v>37</v>
      </c>
      <c r="G21" s="29" t="s">
        <v>36</v>
      </c>
      <c r="H21" s="27"/>
      <c r="I21" s="27"/>
      <c r="J21" s="30"/>
    </row>
    <row r="22" spans="4:10" ht="12.75">
      <c r="D22" s="35">
        <f t="shared" si="0"/>
        <v>20</v>
      </c>
      <c r="E22" s="40" t="s">
        <v>53</v>
      </c>
      <c r="F22" s="28" t="s">
        <v>37</v>
      </c>
      <c r="G22" s="29" t="s">
        <v>36</v>
      </c>
      <c r="H22" s="27"/>
      <c r="I22" s="27"/>
      <c r="J22" s="30"/>
    </row>
    <row r="23" spans="4:10" ht="12.75">
      <c r="D23" s="35">
        <f t="shared" si="0"/>
      </c>
      <c r="E23" s="40"/>
      <c r="F23" s="28" t="s">
        <v>37</v>
      </c>
      <c r="G23" s="29" t="s">
        <v>36</v>
      </c>
      <c r="H23" s="27"/>
      <c r="I23" s="27"/>
      <c r="J23" s="30"/>
    </row>
    <row r="24" spans="4:10" ht="12.75">
      <c r="D24" s="35">
        <f t="shared" si="0"/>
      </c>
      <c r="E24" s="40"/>
      <c r="F24" s="28" t="s">
        <v>37</v>
      </c>
      <c r="G24" s="29" t="s">
        <v>36</v>
      </c>
      <c r="H24" s="27"/>
      <c r="I24" s="27"/>
      <c r="J24" s="30"/>
    </row>
    <row r="25" spans="4:10" ht="12.75">
      <c r="D25" s="35">
        <f t="shared" si="0"/>
      </c>
      <c r="E25" s="40"/>
      <c r="F25" s="28" t="s">
        <v>37</v>
      </c>
      <c r="G25" s="29" t="s">
        <v>36</v>
      </c>
      <c r="H25" s="27"/>
      <c r="I25" s="27"/>
      <c r="J25" s="30"/>
    </row>
    <row r="26" spans="4:10" ht="13.5" thickBot="1">
      <c r="D26" s="36">
        <f t="shared" si="0"/>
      </c>
      <c r="E26" s="41"/>
      <c r="F26" s="32" t="s">
        <v>37</v>
      </c>
      <c r="G26" s="33" t="s">
        <v>36</v>
      </c>
      <c r="H26" s="31"/>
      <c r="I26" s="31"/>
      <c r="J26" s="34"/>
    </row>
  </sheetData>
  <sheetProtection/>
  <conditionalFormatting sqref="F3:G26">
    <cfRule type="expression" priority="1" dxfId="8" stopIfTrue="1">
      <formula>AND($D3&gt;$B$2,$E3&lt;&gt;"")</formula>
    </cfRule>
  </conditionalFormatting>
  <conditionalFormatting sqref="E3:E26">
    <cfRule type="expression" priority="2" dxfId="7" stopIfTrue="1">
      <formula>$D3&lt;&gt;""</formula>
    </cfRule>
  </conditionalFormatting>
  <dataValidations count="1">
    <dataValidation type="list" allowBlank="1" showInputMessage="1" showErrorMessage="1" sqref="B2">
      <formula1>"8,9,10,11,12,13,14,15,16,17,18,19,20,21,22,23,24"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0"/>
  <sheetViews>
    <sheetView showGridLines="0" zoomScalePageLayoutView="0" workbookViewId="0" topLeftCell="C1">
      <selection activeCell="L2" sqref="L2:AA2"/>
    </sheetView>
  </sheetViews>
  <sheetFormatPr defaultColWidth="9.140625" defaultRowHeight="12.75"/>
  <cols>
    <col min="1" max="1" width="4.00390625" style="53" customWidth="1"/>
    <col min="2" max="2" width="6.8515625" style="53" customWidth="1"/>
    <col min="3" max="3" width="19.57421875" style="53" bestFit="1" customWidth="1"/>
    <col min="4" max="6" width="4.7109375" style="53" customWidth="1"/>
    <col min="7" max="7" width="4.7109375" style="54" customWidth="1"/>
    <col min="8" max="33" width="4.7109375" style="53" customWidth="1"/>
    <col min="34" max="16384" width="9.140625" style="53" customWidth="1"/>
  </cols>
  <sheetData>
    <row r="2" spans="2:27" ht="21.75" customHeight="1">
      <c r="B2" s="50" t="s">
        <v>38</v>
      </c>
      <c r="C2" s="51"/>
      <c r="D2" s="51"/>
      <c r="E2" s="51"/>
      <c r="F2" s="51"/>
      <c r="G2" s="52"/>
      <c r="H2" s="51"/>
      <c r="I2" s="51"/>
      <c r="J2" s="51"/>
      <c r="K2" s="51"/>
      <c r="L2" s="66" t="s">
        <v>30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ht="11.25" thickBot="1"/>
    <row r="4" spans="2:27" s="55" customFormat="1" ht="12.75" customHeight="1" thickBot="1">
      <c r="B4" s="62" t="s">
        <v>20</v>
      </c>
      <c r="C4" s="64" t="s">
        <v>4</v>
      </c>
      <c r="D4" s="64" t="s">
        <v>5</v>
      </c>
      <c r="E4" s="64" t="s">
        <v>6</v>
      </c>
      <c r="F4" s="64" t="s">
        <v>8</v>
      </c>
      <c r="G4" s="64" t="s">
        <v>7</v>
      </c>
      <c r="H4" s="64" t="s">
        <v>9</v>
      </c>
      <c r="I4" s="64" t="s">
        <v>10</v>
      </c>
      <c r="J4" s="64" t="s">
        <v>11</v>
      </c>
      <c r="K4" s="64" t="s">
        <v>31</v>
      </c>
      <c r="L4" s="69" t="s">
        <v>21</v>
      </c>
      <c r="M4" s="70"/>
      <c r="N4" s="70"/>
      <c r="O4" s="70"/>
      <c r="P4" s="70"/>
      <c r="Q4" s="70"/>
      <c r="R4" s="70"/>
      <c r="S4" s="71"/>
      <c r="T4" s="69" t="s">
        <v>22</v>
      </c>
      <c r="U4" s="70"/>
      <c r="V4" s="70"/>
      <c r="W4" s="70"/>
      <c r="X4" s="70"/>
      <c r="Y4" s="70"/>
      <c r="Z4" s="70"/>
      <c r="AA4" s="71"/>
    </row>
    <row r="5" spans="2:27" s="57" customFormat="1" ht="13.5" customHeight="1" thickBot="1">
      <c r="B5" s="63"/>
      <c r="C5" s="65"/>
      <c r="D5" s="65"/>
      <c r="E5" s="65"/>
      <c r="F5" s="65"/>
      <c r="G5" s="65"/>
      <c r="H5" s="65"/>
      <c r="I5" s="65"/>
      <c r="J5" s="65"/>
      <c r="K5" s="65"/>
      <c r="L5" s="56" t="s">
        <v>5</v>
      </c>
      <c r="M5" s="56" t="s">
        <v>6</v>
      </c>
      <c r="N5" s="56" t="s">
        <v>8</v>
      </c>
      <c r="O5" s="56" t="s">
        <v>7</v>
      </c>
      <c r="P5" s="56" t="s">
        <v>9</v>
      </c>
      <c r="Q5" s="56" t="s">
        <v>10</v>
      </c>
      <c r="R5" s="56" t="s">
        <v>11</v>
      </c>
      <c r="S5" s="56" t="s">
        <v>31</v>
      </c>
      <c r="T5" s="56" t="s">
        <v>5</v>
      </c>
      <c r="U5" s="56" t="s">
        <v>6</v>
      </c>
      <c r="V5" s="56" t="s">
        <v>8</v>
      </c>
      <c r="W5" s="56" t="s">
        <v>7</v>
      </c>
      <c r="X5" s="56" t="s">
        <v>9</v>
      </c>
      <c r="Y5" s="56" t="s">
        <v>10</v>
      </c>
      <c r="Z5" s="56" t="s">
        <v>11</v>
      </c>
      <c r="AA5" s="56" t="s">
        <v>31</v>
      </c>
    </row>
    <row r="6" spans="2:27" ht="10.5">
      <c r="B6" s="58">
        <v>1</v>
      </c>
      <c r="C6" s="49" t="str">
        <f>VLOOKUP(B6,Setting!B$4:AC$23,2,FALSE)</f>
        <v>Glasgow Ranger</v>
      </c>
      <c r="D6" s="59">
        <f>VLOOKUP($C6,Setting!$C$4:$AC$23,4,FALSE)</f>
        <v>11</v>
      </c>
      <c r="E6" s="59">
        <f>VLOOKUP($C6,Setting!$C$4:$AC$23,5,FALSE)</f>
        <v>8</v>
      </c>
      <c r="F6" s="59">
        <f>VLOOKUP($C6,Setting!$C$4:$AC$23,6,FALSE)</f>
        <v>0</v>
      </c>
      <c r="G6" s="59">
        <f>VLOOKUP($C6,Setting!$C$4:$AC$23,7,FALSE)</f>
        <v>3</v>
      </c>
      <c r="H6" s="59">
        <f>VLOOKUP($C6,Setting!$C$4:$AC$23,8,FALSE)</f>
        <v>17</v>
      </c>
      <c r="I6" s="59">
        <f>VLOOKUP($C6,Setting!$C$4:$AC$23,9,FALSE)</f>
        <v>11</v>
      </c>
      <c r="J6" s="59">
        <f>VLOOKUP($C6,Setting!$C$4:$AC$23,10,FALSE)</f>
        <v>6</v>
      </c>
      <c r="K6" s="60">
        <f>VLOOKUP($C6,Setting!$C$4:$AC$23,11,FALSE)</f>
        <v>24</v>
      </c>
      <c r="L6" s="59">
        <f>VLOOKUP($C6,Setting!$C$4:$AC$23,12,FALSE)</f>
        <v>6</v>
      </c>
      <c r="M6" s="59">
        <f>VLOOKUP($C6,Setting!$C$4:$AC$23,13,FALSE)</f>
        <v>5</v>
      </c>
      <c r="N6" s="59">
        <f>VLOOKUP($C6,Setting!$C$4:$AC$23,14,FALSE)</f>
        <v>0</v>
      </c>
      <c r="O6" s="59">
        <f>VLOOKUP($C6,Setting!$C$4:$AC$23,15,FALSE)</f>
        <v>1</v>
      </c>
      <c r="P6" s="59">
        <f>VLOOKUP($C6,Setting!$C$4:$AC$23,16,FALSE)</f>
        <v>11</v>
      </c>
      <c r="Q6" s="59">
        <f>VLOOKUP($C6,Setting!$C$4:$AC$23,17,FALSE)</f>
        <v>4</v>
      </c>
      <c r="R6" s="59">
        <f>VLOOKUP($C6,Setting!$C$4:$AC$23,18,FALSE)</f>
        <v>7</v>
      </c>
      <c r="S6" s="59">
        <f>VLOOKUP($C6,Setting!$C$4:$AC$23,19,FALSE)</f>
        <v>15</v>
      </c>
      <c r="T6" s="59">
        <f>VLOOKUP($C6,Setting!$C$4:$AC$23,20,FALSE)</f>
        <v>5</v>
      </c>
      <c r="U6" s="59">
        <f>VLOOKUP($C6,Setting!$C$4:$AC$23,21,FALSE)</f>
        <v>3</v>
      </c>
      <c r="V6" s="59">
        <f>VLOOKUP($C6,Setting!$C$4:$AC$23,22,FALSE)</f>
        <v>0</v>
      </c>
      <c r="W6" s="59">
        <f>VLOOKUP($C6,Setting!$C$4:$AC$23,23,FALSE)</f>
        <v>2</v>
      </c>
      <c r="X6" s="59">
        <f>VLOOKUP($C6,Setting!$C$4:$AC$23,24,FALSE)</f>
        <v>6</v>
      </c>
      <c r="Y6" s="59">
        <f>VLOOKUP($C6,Setting!$C$4:$AC$23,25,FALSE)</f>
        <v>7</v>
      </c>
      <c r="Z6" s="59">
        <f>VLOOKUP($C6,Setting!$C$4:$AC$23,26,FALSE)</f>
        <v>-1</v>
      </c>
      <c r="AA6" s="59">
        <f>VLOOKUP($C6,Setting!$C$4:$AC$23,27,FALSE)</f>
        <v>9</v>
      </c>
    </row>
    <row r="7" spans="2:27" ht="10.5">
      <c r="B7" s="58">
        <f>IF(B6&lt;&gt;"",IF(B6='Initial Setup'!$B$2,"",B6+1),"")</f>
        <v>2</v>
      </c>
      <c r="C7" s="49" t="str">
        <f>IF(B7&lt;&gt;"",VLOOKUP(B7,Setting!B$4:AC$23,2,FALSE),"")</f>
        <v>Real Madrid</v>
      </c>
      <c r="D7" s="59">
        <f>IF(B7&lt;&gt;"",VLOOKUP($C7,Setting!$C$4:$AC$23,4,FALSE),"")</f>
        <v>11</v>
      </c>
      <c r="E7" s="59">
        <f>IF(B7&lt;&gt;"",VLOOKUP($C7,Setting!$C$4:$AC$23,5,FALSE),"")</f>
        <v>6</v>
      </c>
      <c r="F7" s="59">
        <f>IF(B7&lt;&gt;"",VLOOKUP($C7,Setting!$C$4:$AC$23,6,FALSE),"")</f>
        <v>1</v>
      </c>
      <c r="G7" s="59">
        <f>IF(B7&lt;&gt;"",VLOOKUP($C7,Setting!$C$4:$AC$23,7,FALSE),"")</f>
        <v>4</v>
      </c>
      <c r="H7" s="59">
        <f>IF(B7&lt;&gt;"",VLOOKUP($C7,Setting!$C$4:$AC$23,8,FALSE),"")</f>
        <v>16</v>
      </c>
      <c r="I7" s="59">
        <f>IF(B7&lt;&gt;"",VLOOKUP($C7,Setting!$C$4:$AC$23,9,FALSE),"")</f>
        <v>13</v>
      </c>
      <c r="J7" s="59">
        <f>IF(B7&lt;&gt;"",VLOOKUP($C7,Setting!$C$4:$AC$23,10,FALSE),"")</f>
        <v>3</v>
      </c>
      <c r="K7" s="60">
        <f>IF(B7&lt;&gt;"",VLOOKUP($C7,Setting!$C$4:$AC$23,11,FALSE),"")</f>
        <v>19</v>
      </c>
      <c r="L7" s="59">
        <f>IF(B7&lt;&gt;"",VLOOKUP($C7,Setting!$C$4:$AC$23,12,FALSE),"")</f>
        <v>6</v>
      </c>
      <c r="M7" s="59">
        <f>IF(B7&lt;&gt;"",VLOOKUP($C7,Setting!$C$4:$AC$23,13,FALSE),"")</f>
        <v>3</v>
      </c>
      <c r="N7" s="59">
        <f>IF(B7&lt;&gt;"",VLOOKUP($C7,Setting!$C$4:$AC$23,14,FALSE),"")</f>
        <v>1</v>
      </c>
      <c r="O7" s="59">
        <f>IF(B7&lt;&gt;"",VLOOKUP($C7,Setting!$C$4:$AC$23,15,FALSE),"")</f>
        <v>2</v>
      </c>
      <c r="P7" s="59">
        <f>IF(B7&lt;&gt;"",VLOOKUP($C7,Setting!$C$4:$AC$23,16,FALSE),"")</f>
        <v>10</v>
      </c>
      <c r="Q7" s="59">
        <f>IF(B7&lt;&gt;"",VLOOKUP($C7,Setting!$C$4:$AC$23,17,FALSE),"")</f>
        <v>6</v>
      </c>
      <c r="R7" s="59">
        <f>IF(B7&lt;&gt;"",VLOOKUP($C7,Setting!$C$4:$AC$23,18,FALSE),"")</f>
        <v>4</v>
      </c>
      <c r="S7" s="59">
        <f>IF(B7&lt;&gt;"",VLOOKUP($C7,Setting!$C$4:$AC$23,19,FALSE),"")</f>
        <v>10</v>
      </c>
      <c r="T7" s="59">
        <f>IF(B7&lt;&gt;"",VLOOKUP($C7,Setting!$C$4:$AC$23,20,FALSE),"")</f>
        <v>5</v>
      </c>
      <c r="U7" s="59">
        <f>IF(B7&lt;&gt;"",VLOOKUP($C7,Setting!$C$4:$AC$23,21,FALSE),"")</f>
        <v>3</v>
      </c>
      <c r="V7" s="59">
        <f>IF(B7&lt;&gt;"",VLOOKUP($C7,Setting!$C$4:$AC$23,22,FALSE),"")</f>
        <v>0</v>
      </c>
      <c r="W7" s="59">
        <f>IF(B7&lt;&gt;"",VLOOKUP($C7,Setting!$C$4:$AC$23,23,FALSE),"")</f>
        <v>2</v>
      </c>
      <c r="X7" s="59">
        <f>IF(B7&lt;&gt;"",VLOOKUP($C7,Setting!$C$4:$AC$23,24,FALSE),"")</f>
        <v>6</v>
      </c>
      <c r="Y7" s="59">
        <f>IF(B7&lt;&gt;"",VLOOKUP($C7,Setting!$C$4:$AC$23,25,FALSE),"")</f>
        <v>7</v>
      </c>
      <c r="Z7" s="59">
        <f>IF(B7&lt;&gt;"",VLOOKUP($C7,Setting!$C$4:$AC$23,26,FALSE),"")</f>
        <v>-1</v>
      </c>
      <c r="AA7" s="59">
        <f>IF(B7&lt;&gt;"",VLOOKUP($C7,Setting!$C$4:$AC$23,27,FALSE),"")</f>
        <v>9</v>
      </c>
    </row>
    <row r="8" spans="2:27" ht="10.5">
      <c r="B8" s="58">
        <f>IF(B7&lt;&gt;"",IF(B7='Initial Setup'!$B$2,"",B7+1),"")</f>
        <v>3</v>
      </c>
      <c r="C8" s="49" t="str">
        <f>IF(B8&lt;&gt;"",VLOOKUP(B8,Setting!B$4:AC$23,2,FALSE),"")</f>
        <v>Villareal</v>
      </c>
      <c r="D8" s="59">
        <f>IF(B8&lt;&gt;"",VLOOKUP($C8,Setting!$C$4:$AC$23,4,FALSE),"")</f>
        <v>11</v>
      </c>
      <c r="E8" s="59">
        <f>IF(B8&lt;&gt;"",VLOOKUP($C8,Setting!$C$4:$AC$23,5,FALSE),"")</f>
        <v>6</v>
      </c>
      <c r="F8" s="59">
        <f>IF(B8&lt;&gt;"",VLOOKUP($C8,Setting!$C$4:$AC$23,6,FALSE),"")</f>
        <v>1</v>
      </c>
      <c r="G8" s="59">
        <f>IF(B8&lt;&gt;"",VLOOKUP($C8,Setting!$C$4:$AC$23,7,FALSE),"")</f>
        <v>4</v>
      </c>
      <c r="H8" s="59">
        <f>IF(B8&lt;&gt;"",VLOOKUP($C8,Setting!$C$4:$AC$23,8,FALSE),"")</f>
        <v>16</v>
      </c>
      <c r="I8" s="59">
        <f>IF(B8&lt;&gt;"",VLOOKUP($C8,Setting!$C$4:$AC$23,9,FALSE),"")</f>
        <v>13</v>
      </c>
      <c r="J8" s="59">
        <f>IF(B8&lt;&gt;"",VLOOKUP($C8,Setting!$C$4:$AC$23,10,FALSE),"")</f>
        <v>3</v>
      </c>
      <c r="K8" s="60">
        <f>IF(B8&lt;&gt;"",VLOOKUP($C8,Setting!$C$4:$AC$23,11,FALSE),"")</f>
        <v>19</v>
      </c>
      <c r="L8" s="59">
        <f>IF(B8&lt;&gt;"",VLOOKUP($C8,Setting!$C$4:$AC$23,12,FALSE),"")</f>
        <v>6</v>
      </c>
      <c r="M8" s="59">
        <f>IF(B8&lt;&gt;"",VLOOKUP($C8,Setting!$C$4:$AC$23,13,FALSE),"")</f>
        <v>4</v>
      </c>
      <c r="N8" s="59">
        <f>IF(B8&lt;&gt;"",VLOOKUP($C8,Setting!$C$4:$AC$23,14,FALSE),"")</f>
        <v>0</v>
      </c>
      <c r="O8" s="59">
        <f>IF(B8&lt;&gt;"",VLOOKUP($C8,Setting!$C$4:$AC$23,15,FALSE),"")</f>
        <v>2</v>
      </c>
      <c r="P8" s="59">
        <f>IF(B8&lt;&gt;"",VLOOKUP($C8,Setting!$C$4:$AC$23,16,FALSE),"")</f>
        <v>10</v>
      </c>
      <c r="Q8" s="59">
        <f>IF(B8&lt;&gt;"",VLOOKUP($C8,Setting!$C$4:$AC$23,17,FALSE),"")</f>
        <v>5</v>
      </c>
      <c r="R8" s="59">
        <f>IF(B8&lt;&gt;"",VLOOKUP($C8,Setting!$C$4:$AC$23,18,FALSE),"")</f>
        <v>5</v>
      </c>
      <c r="S8" s="59">
        <f>IF(B8&lt;&gt;"",VLOOKUP($C8,Setting!$C$4:$AC$23,19,FALSE),"")</f>
        <v>12</v>
      </c>
      <c r="T8" s="59">
        <f>IF(B8&lt;&gt;"",VLOOKUP($C8,Setting!$C$4:$AC$23,20,FALSE),"")</f>
        <v>5</v>
      </c>
      <c r="U8" s="59">
        <f>IF(B8&lt;&gt;"",VLOOKUP($C8,Setting!$C$4:$AC$23,21,FALSE),"")</f>
        <v>2</v>
      </c>
      <c r="V8" s="59">
        <f>IF(B8&lt;&gt;"",VLOOKUP($C8,Setting!$C$4:$AC$23,22,FALSE),"")</f>
        <v>1</v>
      </c>
      <c r="W8" s="59">
        <f>IF(B8&lt;&gt;"",VLOOKUP($C8,Setting!$C$4:$AC$23,23,FALSE),"")</f>
        <v>2</v>
      </c>
      <c r="X8" s="59">
        <f>IF(B8&lt;&gt;"",VLOOKUP($C8,Setting!$C$4:$AC$23,24,FALSE),"")</f>
        <v>6</v>
      </c>
      <c r="Y8" s="59">
        <f>IF(B8&lt;&gt;"",VLOOKUP($C8,Setting!$C$4:$AC$23,25,FALSE),"")</f>
        <v>8</v>
      </c>
      <c r="Z8" s="59">
        <f>IF(B8&lt;&gt;"",VLOOKUP($C8,Setting!$C$4:$AC$23,26,FALSE),"")</f>
        <v>-2</v>
      </c>
      <c r="AA8" s="59">
        <f>IF(B8&lt;&gt;"",VLOOKUP($C8,Setting!$C$4:$AC$23,27,FALSE),"")</f>
        <v>7</v>
      </c>
    </row>
    <row r="9" spans="2:27" ht="10.5">
      <c r="B9" s="58">
        <f>IF(B8&lt;&gt;"",IF(B8='Initial Setup'!$B$2,"",B8+1),"")</f>
        <v>4</v>
      </c>
      <c r="C9" s="49" t="str">
        <f>IF(B9&lt;&gt;"",VLOOKUP(B9,Setting!B$4:AC$23,2,FALSE),"")</f>
        <v>Juventus</v>
      </c>
      <c r="D9" s="59">
        <f>IF(B9&lt;&gt;"",VLOOKUP($C9,Setting!$C$4:$AC$23,4,FALSE),"")</f>
        <v>11</v>
      </c>
      <c r="E9" s="59">
        <f>IF(B9&lt;&gt;"",VLOOKUP($C9,Setting!$C$4:$AC$23,5,FALSE),"")</f>
        <v>5</v>
      </c>
      <c r="F9" s="59">
        <f>IF(B9&lt;&gt;"",VLOOKUP($C9,Setting!$C$4:$AC$23,6,FALSE),"")</f>
        <v>3</v>
      </c>
      <c r="G9" s="59">
        <f>IF(B9&lt;&gt;"",VLOOKUP($C9,Setting!$C$4:$AC$23,7,FALSE),"")</f>
        <v>3</v>
      </c>
      <c r="H9" s="59">
        <f>IF(B9&lt;&gt;"",VLOOKUP($C9,Setting!$C$4:$AC$23,8,FALSE),"")</f>
        <v>17</v>
      </c>
      <c r="I9" s="59">
        <f>IF(B9&lt;&gt;"",VLOOKUP($C9,Setting!$C$4:$AC$23,9,FALSE),"")</f>
        <v>14</v>
      </c>
      <c r="J9" s="59">
        <f>IF(B9&lt;&gt;"",VLOOKUP($C9,Setting!$C$4:$AC$23,10,FALSE),"")</f>
        <v>3</v>
      </c>
      <c r="K9" s="60">
        <f>IF(B9&lt;&gt;"",VLOOKUP($C9,Setting!$C$4:$AC$23,11,FALSE),"")</f>
        <v>18</v>
      </c>
      <c r="L9" s="59">
        <f>IF(B9&lt;&gt;"",VLOOKUP($C9,Setting!$C$4:$AC$23,12,FALSE),"")</f>
        <v>6</v>
      </c>
      <c r="M9" s="59">
        <f>IF(B9&lt;&gt;"",VLOOKUP($C9,Setting!$C$4:$AC$23,13,FALSE),"")</f>
        <v>3</v>
      </c>
      <c r="N9" s="59">
        <f>IF(B9&lt;&gt;"",VLOOKUP($C9,Setting!$C$4:$AC$23,14,FALSE),"")</f>
        <v>2</v>
      </c>
      <c r="O9" s="59">
        <f>IF(B9&lt;&gt;"",VLOOKUP($C9,Setting!$C$4:$AC$23,15,FALSE),"")</f>
        <v>1</v>
      </c>
      <c r="P9" s="59">
        <f>IF(B9&lt;&gt;"",VLOOKUP($C9,Setting!$C$4:$AC$23,16,FALSE),"")</f>
        <v>11</v>
      </c>
      <c r="Q9" s="59">
        <f>IF(B9&lt;&gt;"",VLOOKUP($C9,Setting!$C$4:$AC$23,17,FALSE),"")</f>
        <v>6</v>
      </c>
      <c r="R9" s="59">
        <f>IF(B9&lt;&gt;"",VLOOKUP($C9,Setting!$C$4:$AC$23,18,FALSE),"")</f>
        <v>5</v>
      </c>
      <c r="S9" s="59">
        <f>IF(B9&lt;&gt;"",VLOOKUP($C9,Setting!$C$4:$AC$23,19,FALSE),"")</f>
        <v>11</v>
      </c>
      <c r="T9" s="59">
        <f>IF(B9&lt;&gt;"",VLOOKUP($C9,Setting!$C$4:$AC$23,20,FALSE),"")</f>
        <v>5</v>
      </c>
      <c r="U9" s="59">
        <f>IF(B9&lt;&gt;"",VLOOKUP($C9,Setting!$C$4:$AC$23,21,FALSE),"")</f>
        <v>2</v>
      </c>
      <c r="V9" s="59">
        <f>IF(B9&lt;&gt;"",VLOOKUP($C9,Setting!$C$4:$AC$23,22,FALSE),"")</f>
        <v>1</v>
      </c>
      <c r="W9" s="59">
        <f>IF(B9&lt;&gt;"",VLOOKUP($C9,Setting!$C$4:$AC$23,23,FALSE),"")</f>
        <v>2</v>
      </c>
      <c r="X9" s="59">
        <f>IF(B9&lt;&gt;"",VLOOKUP($C9,Setting!$C$4:$AC$23,24,FALSE),"")</f>
        <v>6</v>
      </c>
      <c r="Y9" s="59">
        <f>IF(B9&lt;&gt;"",VLOOKUP($C9,Setting!$C$4:$AC$23,25,FALSE),"")</f>
        <v>8</v>
      </c>
      <c r="Z9" s="59">
        <f>IF(B9&lt;&gt;"",VLOOKUP($C9,Setting!$C$4:$AC$23,26,FALSE),"")</f>
        <v>-2</v>
      </c>
      <c r="AA9" s="59">
        <f>IF(B9&lt;&gt;"",VLOOKUP($C9,Setting!$C$4:$AC$23,27,FALSE),"")</f>
        <v>7</v>
      </c>
    </row>
    <row r="10" spans="2:27" ht="10.5">
      <c r="B10" s="58">
        <f>IF(B9&lt;&gt;"",IF(B9='Initial Setup'!$B$2,"",B9+1),"")</f>
        <v>5</v>
      </c>
      <c r="C10" s="49" t="str">
        <f>IF(B10&lt;&gt;"",VLOOKUP(B10,Setting!B$4:AC$23,2,FALSE),"")</f>
        <v>Arsenal</v>
      </c>
      <c r="D10" s="59">
        <f>IF(B10&lt;&gt;"",VLOOKUP($C10,Setting!$C$4:$AC$23,4,FALSE),"")</f>
        <v>11</v>
      </c>
      <c r="E10" s="59">
        <f>IF(B10&lt;&gt;"",VLOOKUP($C10,Setting!$C$4:$AC$23,5,FALSE),"")</f>
        <v>5</v>
      </c>
      <c r="F10" s="59">
        <f>IF(B10&lt;&gt;"",VLOOKUP($C10,Setting!$C$4:$AC$23,6,FALSE),"")</f>
        <v>2</v>
      </c>
      <c r="G10" s="59">
        <f>IF(B10&lt;&gt;"",VLOOKUP($C10,Setting!$C$4:$AC$23,7,FALSE),"")</f>
        <v>4</v>
      </c>
      <c r="H10" s="59">
        <f>IF(B10&lt;&gt;"",VLOOKUP($C10,Setting!$C$4:$AC$23,8,FALSE),"")</f>
        <v>16</v>
      </c>
      <c r="I10" s="59">
        <f>IF(B10&lt;&gt;"",VLOOKUP($C10,Setting!$C$4:$AC$23,9,FALSE),"")</f>
        <v>14</v>
      </c>
      <c r="J10" s="59">
        <f>IF(B10&lt;&gt;"",VLOOKUP($C10,Setting!$C$4:$AC$23,10,FALSE),"")</f>
        <v>2</v>
      </c>
      <c r="K10" s="60">
        <f>IF(B10&lt;&gt;"",VLOOKUP($C10,Setting!$C$4:$AC$23,11,FALSE),"")</f>
        <v>17</v>
      </c>
      <c r="L10" s="59">
        <f>IF(B10&lt;&gt;"",VLOOKUP($C10,Setting!$C$4:$AC$23,12,FALSE),"")</f>
        <v>6</v>
      </c>
      <c r="M10" s="59">
        <f>IF(B10&lt;&gt;"",VLOOKUP($C10,Setting!$C$4:$AC$23,13,FALSE),"")</f>
        <v>3</v>
      </c>
      <c r="N10" s="59">
        <f>IF(B10&lt;&gt;"",VLOOKUP($C10,Setting!$C$4:$AC$23,14,FALSE),"")</f>
        <v>1</v>
      </c>
      <c r="O10" s="59">
        <f>IF(B10&lt;&gt;"",VLOOKUP($C10,Setting!$C$4:$AC$23,15,FALSE),"")</f>
        <v>2</v>
      </c>
      <c r="P10" s="59">
        <f>IF(B10&lt;&gt;"",VLOOKUP($C10,Setting!$C$4:$AC$23,16,FALSE),"")</f>
        <v>10</v>
      </c>
      <c r="Q10" s="59">
        <f>IF(B10&lt;&gt;"",VLOOKUP($C10,Setting!$C$4:$AC$23,17,FALSE),"")</f>
        <v>6</v>
      </c>
      <c r="R10" s="59">
        <f>IF(B10&lt;&gt;"",VLOOKUP($C10,Setting!$C$4:$AC$23,18,FALSE),"")</f>
        <v>4</v>
      </c>
      <c r="S10" s="59">
        <f>IF(B10&lt;&gt;"",VLOOKUP($C10,Setting!$C$4:$AC$23,19,FALSE),"")</f>
        <v>10</v>
      </c>
      <c r="T10" s="59">
        <f>IF(B10&lt;&gt;"",VLOOKUP($C10,Setting!$C$4:$AC$23,20,FALSE),"")</f>
        <v>5</v>
      </c>
      <c r="U10" s="59">
        <f>IF(B10&lt;&gt;"",VLOOKUP($C10,Setting!$C$4:$AC$23,21,FALSE),"")</f>
        <v>2</v>
      </c>
      <c r="V10" s="59">
        <f>IF(B10&lt;&gt;"",VLOOKUP($C10,Setting!$C$4:$AC$23,22,FALSE),"")</f>
        <v>1</v>
      </c>
      <c r="W10" s="59">
        <f>IF(B10&lt;&gt;"",VLOOKUP($C10,Setting!$C$4:$AC$23,23,FALSE),"")</f>
        <v>2</v>
      </c>
      <c r="X10" s="59">
        <f>IF(B10&lt;&gt;"",VLOOKUP($C10,Setting!$C$4:$AC$23,24,FALSE),"")</f>
        <v>6</v>
      </c>
      <c r="Y10" s="59">
        <f>IF(B10&lt;&gt;"",VLOOKUP($C10,Setting!$C$4:$AC$23,25,FALSE),"")</f>
        <v>8</v>
      </c>
      <c r="Z10" s="59">
        <f>IF(B10&lt;&gt;"",VLOOKUP($C10,Setting!$C$4:$AC$23,26,FALSE),"")</f>
        <v>-2</v>
      </c>
      <c r="AA10" s="59">
        <f>IF(B10&lt;&gt;"",VLOOKUP($C10,Setting!$C$4:$AC$23,27,FALSE),"")</f>
        <v>7</v>
      </c>
    </row>
    <row r="11" spans="2:27" ht="10.5">
      <c r="B11" s="58">
        <f>IF(B10&lt;&gt;"",IF(B10='Initial Setup'!$B$2,"",B10+1),"")</f>
        <v>6</v>
      </c>
      <c r="C11" s="49" t="str">
        <f>IF(B11&lt;&gt;"",VLOOKUP(B11,Setting!B$4:AC$23,2,FALSE),"")</f>
        <v>Liverpool</v>
      </c>
      <c r="D11" s="59">
        <f>IF(B11&lt;&gt;"",VLOOKUP($C11,Setting!$C$4:$AC$23,4,FALSE),"")</f>
        <v>11</v>
      </c>
      <c r="E11" s="59">
        <f>IF(B11&lt;&gt;"",VLOOKUP($C11,Setting!$C$4:$AC$23,5,FALSE),"")</f>
        <v>5</v>
      </c>
      <c r="F11" s="59">
        <f>IF(B11&lt;&gt;"",VLOOKUP($C11,Setting!$C$4:$AC$23,6,FALSE),"")</f>
        <v>2</v>
      </c>
      <c r="G11" s="59">
        <f>IF(B11&lt;&gt;"",VLOOKUP($C11,Setting!$C$4:$AC$23,7,FALSE),"")</f>
        <v>4</v>
      </c>
      <c r="H11" s="59">
        <f>IF(B11&lt;&gt;"",VLOOKUP($C11,Setting!$C$4:$AC$23,8,FALSE),"")</f>
        <v>16</v>
      </c>
      <c r="I11" s="59">
        <f>IF(B11&lt;&gt;"",VLOOKUP($C11,Setting!$C$4:$AC$23,9,FALSE),"")</f>
        <v>14</v>
      </c>
      <c r="J11" s="59">
        <f>IF(B11&lt;&gt;"",VLOOKUP($C11,Setting!$C$4:$AC$23,10,FALSE),"")</f>
        <v>2</v>
      </c>
      <c r="K11" s="60">
        <f>IF(B11&lt;&gt;"",VLOOKUP($C11,Setting!$C$4:$AC$23,11,FALSE),"")</f>
        <v>17</v>
      </c>
      <c r="L11" s="59">
        <f>IF(B11&lt;&gt;"",VLOOKUP($C11,Setting!$C$4:$AC$23,12,FALSE),"")</f>
        <v>6</v>
      </c>
      <c r="M11" s="59">
        <f>IF(B11&lt;&gt;"",VLOOKUP($C11,Setting!$C$4:$AC$23,13,FALSE),"")</f>
        <v>4</v>
      </c>
      <c r="N11" s="59">
        <f>IF(B11&lt;&gt;"",VLOOKUP($C11,Setting!$C$4:$AC$23,14,FALSE),"")</f>
        <v>1</v>
      </c>
      <c r="O11" s="59">
        <f>IF(B11&lt;&gt;"",VLOOKUP($C11,Setting!$C$4:$AC$23,15,FALSE),"")</f>
        <v>1</v>
      </c>
      <c r="P11" s="59">
        <f>IF(B11&lt;&gt;"",VLOOKUP($C11,Setting!$C$4:$AC$23,16,FALSE),"")</f>
        <v>11</v>
      </c>
      <c r="Q11" s="59">
        <f>IF(B11&lt;&gt;"",VLOOKUP($C11,Setting!$C$4:$AC$23,17,FALSE),"")</f>
        <v>5</v>
      </c>
      <c r="R11" s="59">
        <f>IF(B11&lt;&gt;"",VLOOKUP($C11,Setting!$C$4:$AC$23,18,FALSE),"")</f>
        <v>6</v>
      </c>
      <c r="S11" s="59">
        <f>IF(B11&lt;&gt;"",VLOOKUP($C11,Setting!$C$4:$AC$23,19,FALSE),"")</f>
        <v>13</v>
      </c>
      <c r="T11" s="59">
        <f>IF(B11&lt;&gt;"",VLOOKUP($C11,Setting!$C$4:$AC$23,20,FALSE),"")</f>
        <v>5</v>
      </c>
      <c r="U11" s="59">
        <f>IF(B11&lt;&gt;"",VLOOKUP($C11,Setting!$C$4:$AC$23,21,FALSE),"")</f>
        <v>1</v>
      </c>
      <c r="V11" s="59">
        <f>IF(B11&lt;&gt;"",VLOOKUP($C11,Setting!$C$4:$AC$23,22,FALSE),"")</f>
        <v>1</v>
      </c>
      <c r="W11" s="59">
        <f>IF(B11&lt;&gt;"",VLOOKUP($C11,Setting!$C$4:$AC$23,23,FALSE),"")</f>
        <v>3</v>
      </c>
      <c r="X11" s="59">
        <f>IF(B11&lt;&gt;"",VLOOKUP($C11,Setting!$C$4:$AC$23,24,FALSE),"")</f>
        <v>5</v>
      </c>
      <c r="Y11" s="59">
        <f>IF(B11&lt;&gt;"",VLOOKUP($C11,Setting!$C$4:$AC$23,25,FALSE),"")</f>
        <v>9</v>
      </c>
      <c r="Z11" s="59">
        <f>IF(B11&lt;&gt;"",VLOOKUP($C11,Setting!$C$4:$AC$23,26,FALSE),"")</f>
        <v>-4</v>
      </c>
      <c r="AA11" s="59">
        <f>IF(B11&lt;&gt;"",VLOOKUP($C11,Setting!$C$4:$AC$23,27,FALSE),"")</f>
        <v>4</v>
      </c>
    </row>
    <row r="12" spans="2:27" ht="10.5">
      <c r="B12" s="58">
        <f>IF(B11&lt;&gt;"",IF(B11='Initial Setup'!$B$2,"",B11+1),"")</f>
        <v>7</v>
      </c>
      <c r="C12" s="49" t="str">
        <f>IF(B12&lt;&gt;"",VLOOKUP(B12,Setting!B$4:AC$23,2,FALSE),"")</f>
        <v>AS Roma</v>
      </c>
      <c r="D12" s="59">
        <f>IF(B12&lt;&gt;"",VLOOKUP($C12,Setting!$C$4:$AC$23,4,FALSE),"")</f>
        <v>11</v>
      </c>
      <c r="E12" s="59">
        <f>IF(B12&lt;&gt;"",VLOOKUP($C12,Setting!$C$4:$AC$23,5,FALSE),"")</f>
        <v>5</v>
      </c>
      <c r="F12" s="59">
        <f>IF(B12&lt;&gt;"",VLOOKUP($C12,Setting!$C$4:$AC$23,6,FALSE),"")</f>
        <v>1</v>
      </c>
      <c r="G12" s="59">
        <f>IF(B12&lt;&gt;"",VLOOKUP($C12,Setting!$C$4:$AC$23,7,FALSE),"")</f>
        <v>5</v>
      </c>
      <c r="H12" s="59">
        <f>IF(B12&lt;&gt;"",VLOOKUP($C12,Setting!$C$4:$AC$23,8,FALSE),"")</f>
        <v>15</v>
      </c>
      <c r="I12" s="59">
        <f>IF(B12&lt;&gt;"",VLOOKUP($C12,Setting!$C$4:$AC$23,9,FALSE),"")</f>
        <v>14</v>
      </c>
      <c r="J12" s="59">
        <f>IF(B12&lt;&gt;"",VLOOKUP($C12,Setting!$C$4:$AC$23,10,FALSE),"")</f>
        <v>1</v>
      </c>
      <c r="K12" s="60">
        <f>IF(B12&lt;&gt;"",VLOOKUP($C12,Setting!$C$4:$AC$23,11,FALSE),"")</f>
        <v>16</v>
      </c>
      <c r="L12" s="59">
        <f>IF(B12&lt;&gt;"",VLOOKUP($C12,Setting!$C$4:$AC$23,12,FALSE),"")</f>
        <v>6</v>
      </c>
      <c r="M12" s="59">
        <f>IF(B12&lt;&gt;"",VLOOKUP($C12,Setting!$C$4:$AC$23,13,FALSE),"")</f>
        <v>4</v>
      </c>
      <c r="N12" s="59">
        <f>IF(B12&lt;&gt;"",VLOOKUP($C12,Setting!$C$4:$AC$23,14,FALSE),"")</f>
        <v>0</v>
      </c>
      <c r="O12" s="59">
        <f>IF(B12&lt;&gt;"",VLOOKUP($C12,Setting!$C$4:$AC$23,15,FALSE),"")</f>
        <v>2</v>
      </c>
      <c r="P12" s="59">
        <f>IF(B12&lt;&gt;"",VLOOKUP($C12,Setting!$C$4:$AC$23,16,FALSE),"")</f>
        <v>10</v>
      </c>
      <c r="Q12" s="59">
        <f>IF(B12&lt;&gt;"",VLOOKUP($C12,Setting!$C$4:$AC$23,17,FALSE),"")</f>
        <v>5</v>
      </c>
      <c r="R12" s="59">
        <f>IF(B12&lt;&gt;"",VLOOKUP($C12,Setting!$C$4:$AC$23,18,FALSE),"")</f>
        <v>5</v>
      </c>
      <c r="S12" s="59">
        <f>IF(B12&lt;&gt;"",VLOOKUP($C12,Setting!$C$4:$AC$23,19,FALSE),"")</f>
        <v>12</v>
      </c>
      <c r="T12" s="59">
        <f>IF(B12&lt;&gt;"",VLOOKUP($C12,Setting!$C$4:$AC$23,20,FALSE),"")</f>
        <v>5</v>
      </c>
      <c r="U12" s="59">
        <f>IF(B12&lt;&gt;"",VLOOKUP($C12,Setting!$C$4:$AC$23,21,FALSE),"")</f>
        <v>1</v>
      </c>
      <c r="V12" s="59">
        <f>IF(B12&lt;&gt;"",VLOOKUP($C12,Setting!$C$4:$AC$23,22,FALSE),"")</f>
        <v>1</v>
      </c>
      <c r="W12" s="59">
        <f>IF(B12&lt;&gt;"",VLOOKUP($C12,Setting!$C$4:$AC$23,23,FALSE),"")</f>
        <v>3</v>
      </c>
      <c r="X12" s="59">
        <f>IF(B12&lt;&gt;"",VLOOKUP($C12,Setting!$C$4:$AC$23,24,FALSE),"")</f>
        <v>5</v>
      </c>
      <c r="Y12" s="59">
        <f>IF(B12&lt;&gt;"",VLOOKUP($C12,Setting!$C$4:$AC$23,25,FALSE),"")</f>
        <v>9</v>
      </c>
      <c r="Z12" s="59">
        <f>IF(B12&lt;&gt;"",VLOOKUP($C12,Setting!$C$4:$AC$23,26,FALSE),"")</f>
        <v>-4</v>
      </c>
      <c r="AA12" s="59">
        <f>IF(B12&lt;&gt;"",VLOOKUP($C12,Setting!$C$4:$AC$23,27,FALSE),"")</f>
        <v>4</v>
      </c>
    </row>
    <row r="13" spans="2:27" ht="10.5">
      <c r="B13" s="58">
        <f>IF(B12&lt;&gt;"",IF(B12='Initial Setup'!$B$2,"",B12+1),"")</f>
        <v>8</v>
      </c>
      <c r="C13" s="49" t="str">
        <f>IF(B13&lt;&gt;"",VLOOKUP(B13,Setting!B$4:AC$23,2,FALSE),"")</f>
        <v>Chelsea</v>
      </c>
      <c r="D13" s="59">
        <f>IF(B13&lt;&gt;"",VLOOKUP($C13,Setting!$C$4:$AC$23,4,FALSE),"")</f>
        <v>11</v>
      </c>
      <c r="E13" s="59">
        <f>IF(B13&lt;&gt;"",VLOOKUP($C13,Setting!$C$4:$AC$23,5,FALSE),"")</f>
        <v>5</v>
      </c>
      <c r="F13" s="59">
        <f>IF(B13&lt;&gt;"",VLOOKUP($C13,Setting!$C$4:$AC$23,6,FALSE),"")</f>
        <v>1</v>
      </c>
      <c r="G13" s="59">
        <f>IF(B13&lt;&gt;"",VLOOKUP($C13,Setting!$C$4:$AC$23,7,FALSE),"")</f>
        <v>5</v>
      </c>
      <c r="H13" s="59">
        <f>IF(B13&lt;&gt;"",VLOOKUP($C13,Setting!$C$4:$AC$23,8,FALSE),"")</f>
        <v>15</v>
      </c>
      <c r="I13" s="59">
        <f>IF(B13&lt;&gt;"",VLOOKUP($C13,Setting!$C$4:$AC$23,9,FALSE),"")</f>
        <v>14</v>
      </c>
      <c r="J13" s="59">
        <f>IF(B13&lt;&gt;"",VLOOKUP($C13,Setting!$C$4:$AC$23,10,FALSE),"")</f>
        <v>1</v>
      </c>
      <c r="K13" s="60">
        <f>IF(B13&lt;&gt;"",VLOOKUP($C13,Setting!$C$4:$AC$23,11,FALSE),"")</f>
        <v>16</v>
      </c>
      <c r="L13" s="59">
        <f>IF(B13&lt;&gt;"",VLOOKUP($C13,Setting!$C$4:$AC$23,12,FALSE),"")</f>
        <v>6</v>
      </c>
      <c r="M13" s="59">
        <f>IF(B13&lt;&gt;"",VLOOKUP($C13,Setting!$C$4:$AC$23,13,FALSE),"")</f>
        <v>3</v>
      </c>
      <c r="N13" s="59">
        <f>IF(B13&lt;&gt;"",VLOOKUP($C13,Setting!$C$4:$AC$23,14,FALSE),"")</f>
        <v>1</v>
      </c>
      <c r="O13" s="59">
        <f>IF(B13&lt;&gt;"",VLOOKUP($C13,Setting!$C$4:$AC$23,15,FALSE),"")</f>
        <v>2</v>
      </c>
      <c r="P13" s="59">
        <f>IF(B13&lt;&gt;"",VLOOKUP($C13,Setting!$C$4:$AC$23,16,FALSE),"")</f>
        <v>10</v>
      </c>
      <c r="Q13" s="59">
        <f>IF(B13&lt;&gt;"",VLOOKUP($C13,Setting!$C$4:$AC$23,17,FALSE),"")</f>
        <v>6</v>
      </c>
      <c r="R13" s="59">
        <f>IF(B13&lt;&gt;"",VLOOKUP($C13,Setting!$C$4:$AC$23,18,FALSE),"")</f>
        <v>4</v>
      </c>
      <c r="S13" s="59">
        <f>IF(B13&lt;&gt;"",VLOOKUP($C13,Setting!$C$4:$AC$23,19,FALSE),"")</f>
        <v>10</v>
      </c>
      <c r="T13" s="59">
        <f>IF(B13&lt;&gt;"",VLOOKUP($C13,Setting!$C$4:$AC$23,20,FALSE),"")</f>
        <v>5</v>
      </c>
      <c r="U13" s="59">
        <f>IF(B13&lt;&gt;"",VLOOKUP($C13,Setting!$C$4:$AC$23,21,FALSE),"")</f>
        <v>2</v>
      </c>
      <c r="V13" s="59">
        <f>IF(B13&lt;&gt;"",VLOOKUP($C13,Setting!$C$4:$AC$23,22,FALSE),"")</f>
        <v>0</v>
      </c>
      <c r="W13" s="59">
        <f>IF(B13&lt;&gt;"",VLOOKUP($C13,Setting!$C$4:$AC$23,23,FALSE),"")</f>
        <v>3</v>
      </c>
      <c r="X13" s="59">
        <f>IF(B13&lt;&gt;"",VLOOKUP($C13,Setting!$C$4:$AC$23,24,FALSE),"")</f>
        <v>5</v>
      </c>
      <c r="Y13" s="59">
        <f>IF(B13&lt;&gt;"",VLOOKUP($C13,Setting!$C$4:$AC$23,25,FALSE),"")</f>
        <v>8</v>
      </c>
      <c r="Z13" s="59">
        <f>IF(B13&lt;&gt;"",VLOOKUP($C13,Setting!$C$4:$AC$23,26,FALSE),"")</f>
        <v>-3</v>
      </c>
      <c r="AA13" s="59">
        <f>IF(B13&lt;&gt;"",VLOOKUP($C13,Setting!$C$4:$AC$23,27,FALSE),"")</f>
        <v>6</v>
      </c>
    </row>
    <row r="14" spans="2:27" ht="10.5">
      <c r="B14" s="58">
        <f>IF(B13&lt;&gt;"",IF(B13='Initial Setup'!$B$2,"",B13+1),"")</f>
        <v>9</v>
      </c>
      <c r="C14" s="49" t="str">
        <f>IF(B14&lt;&gt;"",VLOOKUP(B14,Setting!B$4:AC$23,2,FALSE),"")</f>
        <v>Inter Milan</v>
      </c>
      <c r="D14" s="59">
        <f>IF(B14&lt;&gt;"",VLOOKUP($C14,Setting!$C$4:$AC$23,4,FALSE),"")</f>
        <v>10</v>
      </c>
      <c r="E14" s="59">
        <f>IF(B14&lt;&gt;"",VLOOKUP($C14,Setting!$C$4:$AC$23,5,FALSE),"")</f>
        <v>5</v>
      </c>
      <c r="F14" s="59">
        <f>IF(B14&lt;&gt;"",VLOOKUP($C14,Setting!$C$4:$AC$23,6,FALSE),"")</f>
        <v>1</v>
      </c>
      <c r="G14" s="59">
        <f>IF(B14&lt;&gt;"",VLOOKUP($C14,Setting!$C$4:$AC$23,7,FALSE),"")</f>
        <v>4</v>
      </c>
      <c r="H14" s="59">
        <f>IF(B14&lt;&gt;"",VLOOKUP($C14,Setting!$C$4:$AC$23,8,FALSE),"")</f>
        <v>14</v>
      </c>
      <c r="I14" s="59">
        <f>IF(B14&lt;&gt;"",VLOOKUP($C14,Setting!$C$4:$AC$23,9,FALSE),"")</f>
        <v>13</v>
      </c>
      <c r="J14" s="59">
        <f>IF(B14&lt;&gt;"",VLOOKUP($C14,Setting!$C$4:$AC$23,10,FALSE),"")</f>
        <v>1</v>
      </c>
      <c r="K14" s="60">
        <f>IF(B14&lt;&gt;"",VLOOKUP($C14,Setting!$C$4:$AC$23,11,FALSE),"")</f>
        <v>16</v>
      </c>
      <c r="L14" s="59">
        <f>IF(B14&lt;&gt;"",VLOOKUP($C14,Setting!$C$4:$AC$23,12,FALSE),"")</f>
        <v>5</v>
      </c>
      <c r="M14" s="59">
        <f>IF(B14&lt;&gt;"",VLOOKUP($C14,Setting!$C$4:$AC$23,13,FALSE),"")</f>
        <v>3</v>
      </c>
      <c r="N14" s="59">
        <f>IF(B14&lt;&gt;"",VLOOKUP($C14,Setting!$C$4:$AC$23,14,FALSE),"")</f>
        <v>0</v>
      </c>
      <c r="O14" s="59">
        <f>IF(B14&lt;&gt;"",VLOOKUP($C14,Setting!$C$4:$AC$23,15,FALSE),"")</f>
        <v>2</v>
      </c>
      <c r="P14" s="59">
        <f>IF(B14&lt;&gt;"",VLOOKUP($C14,Setting!$C$4:$AC$23,16,FALSE),"")</f>
        <v>8</v>
      </c>
      <c r="Q14" s="59">
        <f>IF(B14&lt;&gt;"",VLOOKUP($C14,Setting!$C$4:$AC$23,17,FALSE),"")</f>
        <v>5</v>
      </c>
      <c r="R14" s="59">
        <f>IF(B14&lt;&gt;"",VLOOKUP($C14,Setting!$C$4:$AC$23,18,FALSE),"")</f>
        <v>3</v>
      </c>
      <c r="S14" s="59">
        <f>IF(B14&lt;&gt;"",VLOOKUP($C14,Setting!$C$4:$AC$23,19,FALSE),"")</f>
        <v>9</v>
      </c>
      <c r="T14" s="59">
        <f>IF(B14&lt;&gt;"",VLOOKUP($C14,Setting!$C$4:$AC$23,20,FALSE),"")</f>
        <v>5</v>
      </c>
      <c r="U14" s="59">
        <f>IF(B14&lt;&gt;"",VLOOKUP($C14,Setting!$C$4:$AC$23,21,FALSE),"")</f>
        <v>2</v>
      </c>
      <c r="V14" s="59">
        <f>IF(B14&lt;&gt;"",VLOOKUP($C14,Setting!$C$4:$AC$23,22,FALSE),"")</f>
        <v>1</v>
      </c>
      <c r="W14" s="59">
        <f>IF(B14&lt;&gt;"",VLOOKUP($C14,Setting!$C$4:$AC$23,23,FALSE),"")</f>
        <v>2</v>
      </c>
      <c r="X14" s="59">
        <f>IF(B14&lt;&gt;"",VLOOKUP($C14,Setting!$C$4:$AC$23,24,FALSE),"")</f>
        <v>6</v>
      </c>
      <c r="Y14" s="59">
        <f>IF(B14&lt;&gt;"",VLOOKUP($C14,Setting!$C$4:$AC$23,25,FALSE),"")</f>
        <v>8</v>
      </c>
      <c r="Z14" s="59">
        <f>IF(B14&lt;&gt;"",VLOOKUP($C14,Setting!$C$4:$AC$23,26,FALSE),"")</f>
        <v>-2</v>
      </c>
      <c r="AA14" s="59">
        <f>IF(B14&lt;&gt;"",VLOOKUP($C14,Setting!$C$4:$AC$23,27,FALSE),"")</f>
        <v>7</v>
      </c>
    </row>
    <row r="15" spans="2:27" ht="10.5">
      <c r="B15" s="58">
        <f>IF(B14&lt;&gt;"",IF(B14='Initial Setup'!$B$2,"",B14+1),"")</f>
        <v>10</v>
      </c>
      <c r="C15" s="49" t="str">
        <f>IF(B15&lt;&gt;"",VLOOKUP(B15,Setting!B$4:AC$23,2,FALSE),"")</f>
        <v>Valencia</v>
      </c>
      <c r="D15" s="59">
        <f>IF(B15&lt;&gt;"",VLOOKUP($C15,Setting!$C$4:$AC$23,4,FALSE),"")</f>
        <v>11</v>
      </c>
      <c r="E15" s="59">
        <f>IF(B15&lt;&gt;"",VLOOKUP($C15,Setting!$C$4:$AC$23,5,FALSE),"")</f>
        <v>5</v>
      </c>
      <c r="F15" s="59">
        <f>IF(B15&lt;&gt;"",VLOOKUP($C15,Setting!$C$4:$AC$23,6,FALSE),"")</f>
        <v>1</v>
      </c>
      <c r="G15" s="59">
        <f>IF(B15&lt;&gt;"",VLOOKUP($C15,Setting!$C$4:$AC$23,7,FALSE),"")</f>
        <v>5</v>
      </c>
      <c r="H15" s="59">
        <f>IF(B15&lt;&gt;"",VLOOKUP($C15,Setting!$C$4:$AC$23,8,FALSE),"")</f>
        <v>14</v>
      </c>
      <c r="I15" s="59">
        <f>IF(B15&lt;&gt;"",VLOOKUP($C15,Setting!$C$4:$AC$23,9,FALSE),"")</f>
        <v>15</v>
      </c>
      <c r="J15" s="59">
        <f>IF(B15&lt;&gt;"",VLOOKUP($C15,Setting!$C$4:$AC$23,10,FALSE),"")</f>
        <v>-1</v>
      </c>
      <c r="K15" s="60">
        <f>IF(B15&lt;&gt;"",VLOOKUP($C15,Setting!$C$4:$AC$23,11,FALSE),"")</f>
        <v>16</v>
      </c>
      <c r="L15" s="59">
        <f>IF(B15&lt;&gt;"",VLOOKUP($C15,Setting!$C$4:$AC$23,12,FALSE),"")</f>
        <v>5</v>
      </c>
      <c r="M15" s="59">
        <f>IF(B15&lt;&gt;"",VLOOKUP($C15,Setting!$C$4:$AC$23,13,FALSE),"")</f>
        <v>3</v>
      </c>
      <c r="N15" s="59">
        <f>IF(B15&lt;&gt;"",VLOOKUP($C15,Setting!$C$4:$AC$23,14,FALSE),"")</f>
        <v>1</v>
      </c>
      <c r="O15" s="59">
        <f>IF(B15&lt;&gt;"",VLOOKUP($C15,Setting!$C$4:$AC$23,15,FALSE),"")</f>
        <v>1</v>
      </c>
      <c r="P15" s="59">
        <f>IF(B15&lt;&gt;"",VLOOKUP($C15,Setting!$C$4:$AC$23,16,FALSE),"")</f>
        <v>9</v>
      </c>
      <c r="Q15" s="59">
        <f>IF(B15&lt;&gt;"",VLOOKUP($C15,Setting!$C$4:$AC$23,17,FALSE),"")</f>
        <v>5</v>
      </c>
      <c r="R15" s="59">
        <f>IF(B15&lt;&gt;"",VLOOKUP($C15,Setting!$C$4:$AC$23,18,FALSE),"")</f>
        <v>4</v>
      </c>
      <c r="S15" s="59">
        <f>IF(B15&lt;&gt;"",VLOOKUP($C15,Setting!$C$4:$AC$23,19,FALSE),"")</f>
        <v>10</v>
      </c>
      <c r="T15" s="59">
        <f>IF(B15&lt;&gt;"",VLOOKUP($C15,Setting!$C$4:$AC$23,20,FALSE),"")</f>
        <v>6</v>
      </c>
      <c r="U15" s="59">
        <f>IF(B15&lt;&gt;"",VLOOKUP($C15,Setting!$C$4:$AC$23,21,FALSE),"")</f>
        <v>2</v>
      </c>
      <c r="V15" s="59">
        <f>IF(B15&lt;&gt;"",VLOOKUP($C15,Setting!$C$4:$AC$23,22,FALSE),"")</f>
        <v>0</v>
      </c>
      <c r="W15" s="59">
        <f>IF(B15&lt;&gt;"",VLOOKUP($C15,Setting!$C$4:$AC$23,23,FALSE),"")</f>
        <v>4</v>
      </c>
      <c r="X15" s="59">
        <f>IF(B15&lt;&gt;"",VLOOKUP($C15,Setting!$C$4:$AC$23,24,FALSE),"")</f>
        <v>5</v>
      </c>
      <c r="Y15" s="59">
        <f>IF(B15&lt;&gt;"",VLOOKUP($C15,Setting!$C$4:$AC$23,25,FALSE),"")</f>
        <v>10</v>
      </c>
      <c r="Z15" s="59">
        <f>IF(B15&lt;&gt;"",VLOOKUP($C15,Setting!$C$4:$AC$23,26,FALSE),"")</f>
        <v>-5</v>
      </c>
      <c r="AA15" s="59">
        <f>IF(B15&lt;&gt;"",VLOOKUP($C15,Setting!$C$4:$AC$23,27,FALSE),"")</f>
        <v>6</v>
      </c>
    </row>
    <row r="16" spans="2:27" ht="10.5">
      <c r="B16" s="58">
        <f>IF(B15&lt;&gt;"",IF(B15='Initial Setup'!$B$2,"",B15+1),"")</f>
        <v>11</v>
      </c>
      <c r="C16" s="49" t="str">
        <f>IF(B16&lt;&gt;"",VLOOKUP(B16,Setting!B$4:AC$23,2,FALSE),"")</f>
        <v>PSV Eindhoven</v>
      </c>
      <c r="D16" s="59">
        <f>IF(B16&lt;&gt;"",VLOOKUP($C16,Setting!$C$4:$AC$23,4,FALSE),"")</f>
        <v>11</v>
      </c>
      <c r="E16" s="59">
        <f>IF(B16&lt;&gt;"",VLOOKUP($C16,Setting!$C$4:$AC$23,5,FALSE),"")</f>
        <v>5</v>
      </c>
      <c r="F16" s="59">
        <f>IF(B16&lt;&gt;"",VLOOKUP($C16,Setting!$C$4:$AC$23,6,FALSE),"")</f>
        <v>1</v>
      </c>
      <c r="G16" s="59">
        <f>IF(B16&lt;&gt;"",VLOOKUP($C16,Setting!$C$4:$AC$23,7,FALSE),"")</f>
        <v>5</v>
      </c>
      <c r="H16" s="59">
        <f>IF(B16&lt;&gt;"",VLOOKUP($C16,Setting!$C$4:$AC$23,8,FALSE),"")</f>
        <v>14</v>
      </c>
      <c r="I16" s="59">
        <f>IF(B16&lt;&gt;"",VLOOKUP($C16,Setting!$C$4:$AC$23,9,FALSE),"")</f>
        <v>15</v>
      </c>
      <c r="J16" s="59">
        <f>IF(B16&lt;&gt;"",VLOOKUP($C16,Setting!$C$4:$AC$23,10,FALSE),"")</f>
        <v>-1</v>
      </c>
      <c r="K16" s="60">
        <f>IF(B16&lt;&gt;"",VLOOKUP($C16,Setting!$C$4:$AC$23,11,FALSE),"")</f>
        <v>16</v>
      </c>
      <c r="L16" s="59">
        <f>IF(B16&lt;&gt;"",VLOOKUP($C16,Setting!$C$4:$AC$23,12,FALSE),"")</f>
        <v>5</v>
      </c>
      <c r="M16" s="59">
        <f>IF(B16&lt;&gt;"",VLOOKUP($C16,Setting!$C$4:$AC$23,13,FALSE),"")</f>
        <v>2</v>
      </c>
      <c r="N16" s="59">
        <f>IF(B16&lt;&gt;"",VLOOKUP($C16,Setting!$C$4:$AC$23,14,FALSE),"")</f>
        <v>1</v>
      </c>
      <c r="O16" s="59">
        <f>IF(B16&lt;&gt;"",VLOOKUP($C16,Setting!$C$4:$AC$23,15,FALSE),"")</f>
        <v>2</v>
      </c>
      <c r="P16" s="59">
        <f>IF(B16&lt;&gt;"",VLOOKUP($C16,Setting!$C$4:$AC$23,16,FALSE),"")</f>
        <v>8</v>
      </c>
      <c r="Q16" s="59">
        <f>IF(B16&lt;&gt;"",VLOOKUP($C16,Setting!$C$4:$AC$23,17,FALSE),"")</f>
        <v>6</v>
      </c>
      <c r="R16" s="59">
        <f>IF(B16&lt;&gt;"",VLOOKUP($C16,Setting!$C$4:$AC$23,18,FALSE),"")</f>
        <v>2</v>
      </c>
      <c r="S16" s="59">
        <f>IF(B16&lt;&gt;"",VLOOKUP($C16,Setting!$C$4:$AC$23,19,FALSE),"")</f>
        <v>7</v>
      </c>
      <c r="T16" s="59">
        <f>IF(B16&lt;&gt;"",VLOOKUP($C16,Setting!$C$4:$AC$23,20,FALSE),"")</f>
        <v>6</v>
      </c>
      <c r="U16" s="59">
        <f>IF(B16&lt;&gt;"",VLOOKUP($C16,Setting!$C$4:$AC$23,21,FALSE),"")</f>
        <v>3</v>
      </c>
      <c r="V16" s="59">
        <f>IF(B16&lt;&gt;"",VLOOKUP($C16,Setting!$C$4:$AC$23,22,FALSE),"")</f>
        <v>0</v>
      </c>
      <c r="W16" s="59">
        <f>IF(B16&lt;&gt;"",VLOOKUP($C16,Setting!$C$4:$AC$23,23,FALSE),"")</f>
        <v>3</v>
      </c>
      <c r="X16" s="59">
        <f>IF(B16&lt;&gt;"",VLOOKUP($C16,Setting!$C$4:$AC$23,24,FALSE),"")</f>
        <v>6</v>
      </c>
      <c r="Y16" s="59">
        <f>IF(B16&lt;&gt;"",VLOOKUP($C16,Setting!$C$4:$AC$23,25,FALSE),"")</f>
        <v>9</v>
      </c>
      <c r="Z16" s="59">
        <f>IF(B16&lt;&gt;"",VLOOKUP($C16,Setting!$C$4:$AC$23,26,FALSE),"")</f>
        <v>-3</v>
      </c>
      <c r="AA16" s="59">
        <f>IF(B16&lt;&gt;"",VLOOKUP($C16,Setting!$C$4:$AC$23,27,FALSE),"")</f>
        <v>9</v>
      </c>
    </row>
    <row r="17" spans="2:27" ht="10.5">
      <c r="B17" s="58">
        <f>IF(B16&lt;&gt;"",IF(B16='Initial Setup'!$B$2,"",B16+1),"")</f>
        <v>12</v>
      </c>
      <c r="C17" s="49" t="str">
        <f>IF(B17&lt;&gt;"",VLOOKUP(B17,Setting!B$4:AC$23,2,FALSE),"")</f>
        <v>Lyon</v>
      </c>
      <c r="D17" s="59">
        <f>IF(B17&lt;&gt;"",VLOOKUP($C17,Setting!$C$4:$AC$23,4,FALSE),"")</f>
        <v>11</v>
      </c>
      <c r="E17" s="59">
        <f>IF(B17&lt;&gt;"",VLOOKUP($C17,Setting!$C$4:$AC$23,5,FALSE),"")</f>
        <v>5</v>
      </c>
      <c r="F17" s="59">
        <f>IF(B17&lt;&gt;"",VLOOKUP($C17,Setting!$C$4:$AC$23,6,FALSE),"")</f>
        <v>1</v>
      </c>
      <c r="G17" s="59">
        <f>IF(B17&lt;&gt;"",VLOOKUP($C17,Setting!$C$4:$AC$23,7,FALSE),"")</f>
        <v>5</v>
      </c>
      <c r="H17" s="59">
        <f>IF(B17&lt;&gt;"",VLOOKUP($C17,Setting!$C$4:$AC$23,8,FALSE),"")</f>
        <v>14</v>
      </c>
      <c r="I17" s="59">
        <f>IF(B17&lt;&gt;"",VLOOKUP($C17,Setting!$C$4:$AC$23,9,FALSE),"")</f>
        <v>15</v>
      </c>
      <c r="J17" s="59">
        <f>IF(B17&lt;&gt;"",VLOOKUP($C17,Setting!$C$4:$AC$23,10,FALSE),"")</f>
        <v>-1</v>
      </c>
      <c r="K17" s="60">
        <f>IF(B17&lt;&gt;"",VLOOKUP($C17,Setting!$C$4:$AC$23,11,FALSE),"")</f>
        <v>16</v>
      </c>
      <c r="L17" s="59">
        <f>IF(B17&lt;&gt;"",VLOOKUP($C17,Setting!$C$4:$AC$23,12,FALSE),"")</f>
        <v>5</v>
      </c>
      <c r="M17" s="59">
        <f>IF(B17&lt;&gt;"",VLOOKUP($C17,Setting!$C$4:$AC$23,13,FALSE),"")</f>
        <v>3</v>
      </c>
      <c r="N17" s="59">
        <f>IF(B17&lt;&gt;"",VLOOKUP($C17,Setting!$C$4:$AC$23,14,FALSE),"")</f>
        <v>1</v>
      </c>
      <c r="O17" s="59">
        <f>IF(B17&lt;&gt;"",VLOOKUP($C17,Setting!$C$4:$AC$23,15,FALSE),"")</f>
        <v>1</v>
      </c>
      <c r="P17" s="59">
        <f>IF(B17&lt;&gt;"",VLOOKUP($C17,Setting!$C$4:$AC$23,16,FALSE),"")</f>
        <v>9</v>
      </c>
      <c r="Q17" s="59">
        <f>IF(B17&lt;&gt;"",VLOOKUP($C17,Setting!$C$4:$AC$23,17,FALSE),"")</f>
        <v>5</v>
      </c>
      <c r="R17" s="59">
        <f>IF(B17&lt;&gt;"",VLOOKUP($C17,Setting!$C$4:$AC$23,18,FALSE),"")</f>
        <v>4</v>
      </c>
      <c r="S17" s="59">
        <f>IF(B17&lt;&gt;"",VLOOKUP($C17,Setting!$C$4:$AC$23,19,FALSE),"")</f>
        <v>10</v>
      </c>
      <c r="T17" s="59">
        <f>IF(B17&lt;&gt;"",VLOOKUP($C17,Setting!$C$4:$AC$23,20,FALSE),"")</f>
        <v>6</v>
      </c>
      <c r="U17" s="59">
        <f>IF(B17&lt;&gt;"",VLOOKUP($C17,Setting!$C$4:$AC$23,21,FALSE),"")</f>
        <v>2</v>
      </c>
      <c r="V17" s="59">
        <f>IF(B17&lt;&gt;"",VLOOKUP($C17,Setting!$C$4:$AC$23,22,FALSE),"")</f>
        <v>0</v>
      </c>
      <c r="W17" s="59">
        <f>IF(B17&lt;&gt;"",VLOOKUP($C17,Setting!$C$4:$AC$23,23,FALSE),"")</f>
        <v>4</v>
      </c>
      <c r="X17" s="59">
        <f>IF(B17&lt;&gt;"",VLOOKUP($C17,Setting!$C$4:$AC$23,24,FALSE),"")</f>
        <v>5</v>
      </c>
      <c r="Y17" s="59">
        <f>IF(B17&lt;&gt;"",VLOOKUP($C17,Setting!$C$4:$AC$23,25,FALSE),"")</f>
        <v>10</v>
      </c>
      <c r="Z17" s="59">
        <f>IF(B17&lt;&gt;"",VLOOKUP($C17,Setting!$C$4:$AC$23,26,FALSE),"")</f>
        <v>-5</v>
      </c>
      <c r="AA17" s="59">
        <f>IF(B17&lt;&gt;"",VLOOKUP($C17,Setting!$C$4:$AC$23,27,FALSE),"")</f>
        <v>6</v>
      </c>
    </row>
    <row r="18" spans="2:27" ht="10.5">
      <c r="B18" s="58">
        <f>IF(B17&lt;&gt;"",IF(B17='Initial Setup'!$B$2,"",B17+1),"")</f>
        <v>13</v>
      </c>
      <c r="C18" s="49" t="str">
        <f>IF(B18&lt;&gt;"",VLOOKUP(B18,Setting!B$4:AC$23,2,FALSE),"")</f>
        <v>AC Milan</v>
      </c>
      <c r="D18" s="59">
        <f>IF(B18&lt;&gt;"",VLOOKUP($C18,Setting!$C$4:$AC$23,4,FALSE),"")</f>
        <v>11</v>
      </c>
      <c r="E18" s="59">
        <f>IF(B18&lt;&gt;"",VLOOKUP($C18,Setting!$C$4:$AC$23,5,FALSE),"")</f>
        <v>4</v>
      </c>
      <c r="F18" s="59">
        <f>IF(B18&lt;&gt;"",VLOOKUP($C18,Setting!$C$4:$AC$23,6,FALSE),"")</f>
        <v>3</v>
      </c>
      <c r="G18" s="59">
        <f>IF(B18&lt;&gt;"",VLOOKUP($C18,Setting!$C$4:$AC$23,7,FALSE),"")</f>
        <v>4</v>
      </c>
      <c r="H18" s="59">
        <f>IF(B18&lt;&gt;"",VLOOKUP($C18,Setting!$C$4:$AC$23,8,FALSE),"")</f>
        <v>15</v>
      </c>
      <c r="I18" s="59">
        <f>IF(B18&lt;&gt;"",VLOOKUP($C18,Setting!$C$4:$AC$23,9,FALSE),"")</f>
        <v>16</v>
      </c>
      <c r="J18" s="59">
        <f>IF(B18&lt;&gt;"",VLOOKUP($C18,Setting!$C$4:$AC$23,10,FALSE),"")</f>
        <v>-1</v>
      </c>
      <c r="K18" s="60">
        <f>IF(B18&lt;&gt;"",VLOOKUP($C18,Setting!$C$4:$AC$23,11,FALSE),"")</f>
        <v>15</v>
      </c>
      <c r="L18" s="59">
        <f>IF(B18&lt;&gt;"",VLOOKUP($C18,Setting!$C$4:$AC$23,12,FALSE),"")</f>
        <v>5</v>
      </c>
      <c r="M18" s="59">
        <f>IF(B18&lt;&gt;"",VLOOKUP($C18,Setting!$C$4:$AC$23,13,FALSE),"")</f>
        <v>3</v>
      </c>
      <c r="N18" s="59">
        <f>IF(B18&lt;&gt;"",VLOOKUP($C18,Setting!$C$4:$AC$23,14,FALSE),"")</f>
        <v>1</v>
      </c>
      <c r="O18" s="59">
        <f>IF(B18&lt;&gt;"",VLOOKUP($C18,Setting!$C$4:$AC$23,15,FALSE),"")</f>
        <v>1</v>
      </c>
      <c r="P18" s="59">
        <f>IF(B18&lt;&gt;"",VLOOKUP($C18,Setting!$C$4:$AC$23,16,FALSE),"")</f>
        <v>9</v>
      </c>
      <c r="Q18" s="59">
        <f>IF(B18&lt;&gt;"",VLOOKUP($C18,Setting!$C$4:$AC$23,17,FALSE),"")</f>
        <v>5</v>
      </c>
      <c r="R18" s="59">
        <f>IF(B18&lt;&gt;"",VLOOKUP($C18,Setting!$C$4:$AC$23,18,FALSE),"")</f>
        <v>4</v>
      </c>
      <c r="S18" s="59">
        <f>IF(B18&lt;&gt;"",VLOOKUP($C18,Setting!$C$4:$AC$23,19,FALSE),"")</f>
        <v>10</v>
      </c>
      <c r="T18" s="59">
        <f>IF(B18&lt;&gt;"",VLOOKUP($C18,Setting!$C$4:$AC$23,20,FALSE),"")</f>
        <v>6</v>
      </c>
      <c r="U18" s="59">
        <f>IF(B18&lt;&gt;"",VLOOKUP($C18,Setting!$C$4:$AC$23,21,FALSE),"")</f>
        <v>1</v>
      </c>
      <c r="V18" s="59">
        <f>IF(B18&lt;&gt;"",VLOOKUP($C18,Setting!$C$4:$AC$23,22,FALSE),"")</f>
        <v>2</v>
      </c>
      <c r="W18" s="59">
        <f>IF(B18&lt;&gt;"",VLOOKUP($C18,Setting!$C$4:$AC$23,23,FALSE),"")</f>
        <v>3</v>
      </c>
      <c r="X18" s="59">
        <f>IF(B18&lt;&gt;"",VLOOKUP($C18,Setting!$C$4:$AC$23,24,FALSE),"")</f>
        <v>6</v>
      </c>
      <c r="Y18" s="59">
        <f>IF(B18&lt;&gt;"",VLOOKUP($C18,Setting!$C$4:$AC$23,25,FALSE),"")</f>
        <v>11</v>
      </c>
      <c r="Z18" s="59">
        <f>IF(B18&lt;&gt;"",VLOOKUP($C18,Setting!$C$4:$AC$23,26,FALSE),"")</f>
        <v>-5</v>
      </c>
      <c r="AA18" s="59">
        <f>IF(B18&lt;&gt;"",VLOOKUP($C18,Setting!$C$4:$AC$23,27,FALSE),"")</f>
        <v>5</v>
      </c>
    </row>
    <row r="19" spans="2:27" ht="10.5">
      <c r="B19" s="58">
        <f>IF(B18&lt;&gt;"",IF(B18='Initial Setup'!$B$2,"",B18+1),"")</f>
        <v>14</v>
      </c>
      <c r="C19" s="49" t="str">
        <f>IF(B19&lt;&gt;"",VLOOKUP(B19,Setting!B$4:AC$23,2,FALSE),"")</f>
        <v>Bayern Munich</v>
      </c>
      <c r="D19" s="59">
        <f>IF(B19&lt;&gt;"",VLOOKUP($C19,Setting!$C$4:$AC$23,4,FALSE),"")</f>
        <v>11</v>
      </c>
      <c r="E19" s="59">
        <f>IF(B19&lt;&gt;"",VLOOKUP($C19,Setting!$C$4:$AC$23,5,FALSE),"")</f>
        <v>5</v>
      </c>
      <c r="F19" s="59">
        <f>IF(B19&lt;&gt;"",VLOOKUP($C19,Setting!$C$4:$AC$23,6,FALSE),"")</f>
        <v>0</v>
      </c>
      <c r="G19" s="59">
        <f>IF(B19&lt;&gt;"",VLOOKUP($C19,Setting!$C$4:$AC$23,7,FALSE),"")</f>
        <v>6</v>
      </c>
      <c r="H19" s="59">
        <f>IF(B19&lt;&gt;"",VLOOKUP($C19,Setting!$C$4:$AC$23,8,FALSE),"")</f>
        <v>13</v>
      </c>
      <c r="I19" s="59">
        <f>IF(B19&lt;&gt;"",VLOOKUP($C19,Setting!$C$4:$AC$23,9,FALSE),"")</f>
        <v>15</v>
      </c>
      <c r="J19" s="59">
        <f>IF(B19&lt;&gt;"",VLOOKUP($C19,Setting!$C$4:$AC$23,10,FALSE),"")</f>
        <v>-2</v>
      </c>
      <c r="K19" s="60">
        <f>IF(B19&lt;&gt;"",VLOOKUP($C19,Setting!$C$4:$AC$23,11,FALSE),"")</f>
        <v>15</v>
      </c>
      <c r="L19" s="59">
        <f>IF(B19&lt;&gt;"",VLOOKUP($C19,Setting!$C$4:$AC$23,12,FALSE),"")</f>
        <v>5</v>
      </c>
      <c r="M19" s="59">
        <f>IF(B19&lt;&gt;"",VLOOKUP($C19,Setting!$C$4:$AC$23,13,FALSE),"")</f>
        <v>3</v>
      </c>
      <c r="N19" s="59">
        <f>IF(B19&lt;&gt;"",VLOOKUP($C19,Setting!$C$4:$AC$23,14,FALSE),"")</f>
        <v>0</v>
      </c>
      <c r="O19" s="59">
        <f>IF(B19&lt;&gt;"",VLOOKUP($C19,Setting!$C$4:$AC$23,15,FALSE),"")</f>
        <v>2</v>
      </c>
      <c r="P19" s="59">
        <f>IF(B19&lt;&gt;"",VLOOKUP($C19,Setting!$C$4:$AC$23,16,FALSE),"")</f>
        <v>8</v>
      </c>
      <c r="Q19" s="59">
        <f>IF(B19&lt;&gt;"",VLOOKUP($C19,Setting!$C$4:$AC$23,17,FALSE),"")</f>
        <v>5</v>
      </c>
      <c r="R19" s="59">
        <f>IF(B19&lt;&gt;"",VLOOKUP($C19,Setting!$C$4:$AC$23,18,FALSE),"")</f>
        <v>3</v>
      </c>
      <c r="S19" s="59">
        <f>IF(B19&lt;&gt;"",VLOOKUP($C19,Setting!$C$4:$AC$23,19,FALSE),"")</f>
        <v>9</v>
      </c>
      <c r="T19" s="59">
        <f>IF(B19&lt;&gt;"",VLOOKUP($C19,Setting!$C$4:$AC$23,20,FALSE),"")</f>
        <v>6</v>
      </c>
      <c r="U19" s="59">
        <f>IF(B19&lt;&gt;"",VLOOKUP($C19,Setting!$C$4:$AC$23,21,FALSE),"")</f>
        <v>2</v>
      </c>
      <c r="V19" s="59">
        <f>IF(B19&lt;&gt;"",VLOOKUP($C19,Setting!$C$4:$AC$23,22,FALSE),"")</f>
        <v>0</v>
      </c>
      <c r="W19" s="59">
        <f>IF(B19&lt;&gt;"",VLOOKUP($C19,Setting!$C$4:$AC$23,23,FALSE),"")</f>
        <v>4</v>
      </c>
      <c r="X19" s="59">
        <f>IF(B19&lt;&gt;"",VLOOKUP($C19,Setting!$C$4:$AC$23,24,FALSE),"")</f>
        <v>5</v>
      </c>
      <c r="Y19" s="59">
        <f>IF(B19&lt;&gt;"",VLOOKUP($C19,Setting!$C$4:$AC$23,25,FALSE),"")</f>
        <v>10</v>
      </c>
      <c r="Z19" s="59">
        <f>IF(B19&lt;&gt;"",VLOOKUP($C19,Setting!$C$4:$AC$23,26,FALSE),"")</f>
        <v>-5</v>
      </c>
      <c r="AA19" s="59">
        <f>IF(B19&lt;&gt;"",VLOOKUP($C19,Setting!$C$4:$AC$23,27,FALSE),"")</f>
        <v>6</v>
      </c>
    </row>
    <row r="20" spans="2:27" ht="10.5">
      <c r="B20" s="58">
        <f>IF(B19&lt;&gt;"",IF(B19='Initial Setup'!$B$2,"",B19+1),"")</f>
        <v>15</v>
      </c>
      <c r="C20" s="49" t="str">
        <f>IF(B20&lt;&gt;"",VLOOKUP(B20,Setting!B$4:AC$23,2,FALSE),"")</f>
        <v>Marseille</v>
      </c>
      <c r="D20" s="59">
        <f>IF(B20&lt;&gt;"",VLOOKUP($C20,Setting!$C$4:$AC$23,4,FALSE),"")</f>
        <v>11</v>
      </c>
      <c r="E20" s="59">
        <f>IF(B20&lt;&gt;"",VLOOKUP($C20,Setting!$C$4:$AC$23,5,FALSE),"")</f>
        <v>5</v>
      </c>
      <c r="F20" s="59">
        <f>IF(B20&lt;&gt;"",VLOOKUP($C20,Setting!$C$4:$AC$23,6,FALSE),"")</f>
        <v>0</v>
      </c>
      <c r="G20" s="59">
        <f>IF(B20&lt;&gt;"",VLOOKUP($C20,Setting!$C$4:$AC$23,7,FALSE),"")</f>
        <v>6</v>
      </c>
      <c r="H20" s="59">
        <f>IF(B20&lt;&gt;"",VLOOKUP($C20,Setting!$C$4:$AC$23,8,FALSE),"")</f>
        <v>13</v>
      </c>
      <c r="I20" s="59">
        <f>IF(B20&lt;&gt;"",VLOOKUP($C20,Setting!$C$4:$AC$23,9,FALSE),"")</f>
        <v>15</v>
      </c>
      <c r="J20" s="59">
        <f>IF(B20&lt;&gt;"",VLOOKUP($C20,Setting!$C$4:$AC$23,10,FALSE),"")</f>
        <v>-2</v>
      </c>
      <c r="K20" s="60">
        <f>IF(B20&lt;&gt;"",VLOOKUP($C20,Setting!$C$4:$AC$23,11,FALSE),"")</f>
        <v>15</v>
      </c>
      <c r="L20" s="59">
        <f>IF(B20&lt;&gt;"",VLOOKUP($C20,Setting!$C$4:$AC$23,12,FALSE),"")</f>
        <v>5</v>
      </c>
      <c r="M20" s="59">
        <f>IF(B20&lt;&gt;"",VLOOKUP($C20,Setting!$C$4:$AC$23,13,FALSE),"")</f>
        <v>3</v>
      </c>
      <c r="N20" s="59">
        <f>IF(B20&lt;&gt;"",VLOOKUP($C20,Setting!$C$4:$AC$23,14,FALSE),"")</f>
        <v>0</v>
      </c>
      <c r="O20" s="59">
        <f>IF(B20&lt;&gt;"",VLOOKUP($C20,Setting!$C$4:$AC$23,15,FALSE),"")</f>
        <v>2</v>
      </c>
      <c r="P20" s="59">
        <f>IF(B20&lt;&gt;"",VLOOKUP($C20,Setting!$C$4:$AC$23,16,FALSE),"")</f>
        <v>8</v>
      </c>
      <c r="Q20" s="59">
        <f>IF(B20&lt;&gt;"",VLOOKUP($C20,Setting!$C$4:$AC$23,17,FALSE),"")</f>
        <v>5</v>
      </c>
      <c r="R20" s="59">
        <f>IF(B20&lt;&gt;"",VLOOKUP($C20,Setting!$C$4:$AC$23,18,FALSE),"")</f>
        <v>3</v>
      </c>
      <c r="S20" s="59">
        <f>IF(B20&lt;&gt;"",VLOOKUP($C20,Setting!$C$4:$AC$23,19,FALSE),"")</f>
        <v>9</v>
      </c>
      <c r="T20" s="59">
        <f>IF(B20&lt;&gt;"",VLOOKUP($C20,Setting!$C$4:$AC$23,20,FALSE),"")</f>
        <v>6</v>
      </c>
      <c r="U20" s="59">
        <f>IF(B20&lt;&gt;"",VLOOKUP($C20,Setting!$C$4:$AC$23,21,FALSE),"")</f>
        <v>2</v>
      </c>
      <c r="V20" s="59">
        <f>IF(B20&lt;&gt;"",VLOOKUP($C20,Setting!$C$4:$AC$23,22,FALSE),"")</f>
        <v>0</v>
      </c>
      <c r="W20" s="59">
        <f>IF(B20&lt;&gt;"",VLOOKUP($C20,Setting!$C$4:$AC$23,23,FALSE),"")</f>
        <v>4</v>
      </c>
      <c r="X20" s="59">
        <f>IF(B20&lt;&gt;"",VLOOKUP($C20,Setting!$C$4:$AC$23,24,FALSE),"")</f>
        <v>5</v>
      </c>
      <c r="Y20" s="59">
        <f>IF(B20&lt;&gt;"",VLOOKUP($C20,Setting!$C$4:$AC$23,25,FALSE),"")</f>
        <v>10</v>
      </c>
      <c r="Z20" s="59">
        <f>IF(B20&lt;&gt;"",VLOOKUP($C20,Setting!$C$4:$AC$23,26,FALSE),"")</f>
        <v>-5</v>
      </c>
      <c r="AA20" s="59">
        <f>IF(B20&lt;&gt;"",VLOOKUP($C20,Setting!$C$4:$AC$23,27,FALSE),"")</f>
        <v>6</v>
      </c>
    </row>
    <row r="21" spans="2:27" ht="10.5">
      <c r="B21" s="58">
        <f>IF(B20&lt;&gt;"",IF(B20='Initial Setup'!$B$2,"",B20+1),"")</f>
        <v>16</v>
      </c>
      <c r="C21" s="49" t="str">
        <f>IF(B21&lt;&gt;"",VLOOKUP(B21,Setting!B$4:AC$23,2,FALSE),"")</f>
        <v>Manchester United</v>
      </c>
      <c r="D21" s="59">
        <f>IF(B21&lt;&gt;"",VLOOKUP($C21,Setting!$C$4:$AC$23,4,FALSE),"")</f>
        <v>11</v>
      </c>
      <c r="E21" s="59">
        <f>IF(B21&lt;&gt;"",VLOOKUP($C21,Setting!$C$4:$AC$23,5,FALSE),"")</f>
        <v>4</v>
      </c>
      <c r="F21" s="59">
        <f>IF(B21&lt;&gt;"",VLOOKUP($C21,Setting!$C$4:$AC$23,6,FALSE),"")</f>
        <v>2</v>
      </c>
      <c r="G21" s="59">
        <f>IF(B21&lt;&gt;"",VLOOKUP($C21,Setting!$C$4:$AC$23,7,FALSE),"")</f>
        <v>5</v>
      </c>
      <c r="H21" s="59">
        <f>IF(B21&lt;&gt;"",VLOOKUP($C21,Setting!$C$4:$AC$23,8,FALSE),"")</f>
        <v>15</v>
      </c>
      <c r="I21" s="59">
        <f>IF(B21&lt;&gt;"",VLOOKUP($C21,Setting!$C$4:$AC$23,9,FALSE),"")</f>
        <v>15</v>
      </c>
      <c r="J21" s="59">
        <f>IF(B21&lt;&gt;"",VLOOKUP($C21,Setting!$C$4:$AC$23,10,FALSE),"")</f>
        <v>0</v>
      </c>
      <c r="K21" s="60">
        <f>IF(B21&lt;&gt;"",VLOOKUP($C21,Setting!$C$4:$AC$23,11,FALSE),"")</f>
        <v>14</v>
      </c>
      <c r="L21" s="59">
        <f>IF(B21&lt;&gt;"",VLOOKUP($C21,Setting!$C$4:$AC$23,12,FALSE),"")</f>
        <v>6</v>
      </c>
      <c r="M21" s="59">
        <f>IF(B21&lt;&gt;"",VLOOKUP($C21,Setting!$C$4:$AC$23,13,FALSE),"")</f>
        <v>3</v>
      </c>
      <c r="N21" s="59">
        <f>IF(B21&lt;&gt;"",VLOOKUP($C21,Setting!$C$4:$AC$23,14,FALSE),"")</f>
        <v>1</v>
      </c>
      <c r="O21" s="59">
        <f>IF(B21&lt;&gt;"",VLOOKUP($C21,Setting!$C$4:$AC$23,15,FALSE),"")</f>
        <v>2</v>
      </c>
      <c r="P21" s="59">
        <f>IF(B21&lt;&gt;"",VLOOKUP($C21,Setting!$C$4:$AC$23,16,FALSE),"")</f>
        <v>10</v>
      </c>
      <c r="Q21" s="59">
        <f>IF(B21&lt;&gt;"",VLOOKUP($C21,Setting!$C$4:$AC$23,17,FALSE),"")</f>
        <v>6</v>
      </c>
      <c r="R21" s="59">
        <f>IF(B21&lt;&gt;"",VLOOKUP($C21,Setting!$C$4:$AC$23,18,FALSE),"")</f>
        <v>4</v>
      </c>
      <c r="S21" s="59">
        <f>IF(B21&lt;&gt;"",VLOOKUP($C21,Setting!$C$4:$AC$23,19,FALSE),"")</f>
        <v>10</v>
      </c>
      <c r="T21" s="59">
        <f>IF(B21&lt;&gt;"",VLOOKUP($C21,Setting!$C$4:$AC$23,20,FALSE),"")</f>
        <v>5</v>
      </c>
      <c r="U21" s="59">
        <f>IF(B21&lt;&gt;"",VLOOKUP($C21,Setting!$C$4:$AC$23,21,FALSE),"")</f>
        <v>1</v>
      </c>
      <c r="V21" s="59">
        <f>IF(B21&lt;&gt;"",VLOOKUP($C21,Setting!$C$4:$AC$23,22,FALSE),"")</f>
        <v>1</v>
      </c>
      <c r="W21" s="59">
        <f>IF(B21&lt;&gt;"",VLOOKUP($C21,Setting!$C$4:$AC$23,23,FALSE),"")</f>
        <v>3</v>
      </c>
      <c r="X21" s="59">
        <f>IF(B21&lt;&gt;"",VLOOKUP($C21,Setting!$C$4:$AC$23,24,FALSE),"")</f>
        <v>5</v>
      </c>
      <c r="Y21" s="59">
        <f>IF(B21&lt;&gt;"",VLOOKUP($C21,Setting!$C$4:$AC$23,25,FALSE),"")</f>
        <v>9</v>
      </c>
      <c r="Z21" s="59">
        <f>IF(B21&lt;&gt;"",VLOOKUP($C21,Setting!$C$4:$AC$23,26,FALSE),"")</f>
        <v>-4</v>
      </c>
      <c r="AA21" s="59">
        <f>IF(B21&lt;&gt;"",VLOOKUP($C21,Setting!$C$4:$AC$23,27,FALSE),"")</f>
        <v>4</v>
      </c>
    </row>
    <row r="22" spans="2:27" ht="10.5">
      <c r="B22" s="58">
        <f>IF(B21&lt;&gt;"",IF(B21='Initial Setup'!$B$2,"",B21+1),"")</f>
        <v>17</v>
      </c>
      <c r="C22" s="49" t="str">
        <f>IF(B22&lt;&gt;"",VLOOKUP(B22,Setting!B$4:AC$23,2,FALSE),"")</f>
        <v>Ajax Amsterdam</v>
      </c>
      <c r="D22" s="59">
        <f>IF(B22&lt;&gt;"",VLOOKUP($C22,Setting!$C$4:$AC$23,4,FALSE),"")</f>
        <v>10</v>
      </c>
      <c r="E22" s="59">
        <f>IF(B22&lt;&gt;"",VLOOKUP($C22,Setting!$C$4:$AC$23,5,FALSE),"")</f>
        <v>4</v>
      </c>
      <c r="F22" s="59">
        <f>IF(B22&lt;&gt;"",VLOOKUP($C22,Setting!$C$4:$AC$23,6,FALSE),"")</f>
        <v>0</v>
      </c>
      <c r="G22" s="59">
        <f>IF(B22&lt;&gt;"",VLOOKUP($C22,Setting!$C$4:$AC$23,7,FALSE),"")</f>
        <v>6</v>
      </c>
      <c r="H22" s="59">
        <f>IF(B22&lt;&gt;"",VLOOKUP($C22,Setting!$C$4:$AC$23,8,FALSE),"")</f>
        <v>12</v>
      </c>
      <c r="I22" s="59">
        <f>IF(B22&lt;&gt;"",VLOOKUP($C22,Setting!$C$4:$AC$23,9,FALSE),"")</f>
        <v>14</v>
      </c>
      <c r="J22" s="59">
        <f>IF(B22&lt;&gt;"",VLOOKUP($C22,Setting!$C$4:$AC$23,10,FALSE),"")</f>
        <v>-2</v>
      </c>
      <c r="K22" s="60">
        <f>IF(B22&lt;&gt;"",VLOOKUP($C22,Setting!$C$4:$AC$23,11,FALSE),"")</f>
        <v>12</v>
      </c>
      <c r="L22" s="59">
        <f>IF(B22&lt;&gt;"",VLOOKUP($C22,Setting!$C$4:$AC$23,12,FALSE),"")</f>
        <v>5</v>
      </c>
      <c r="M22" s="59">
        <f>IF(B22&lt;&gt;"",VLOOKUP($C22,Setting!$C$4:$AC$23,13,FALSE),"")</f>
        <v>2</v>
      </c>
      <c r="N22" s="59">
        <f>IF(B22&lt;&gt;"",VLOOKUP($C22,Setting!$C$4:$AC$23,14,FALSE),"")</f>
        <v>0</v>
      </c>
      <c r="O22" s="59">
        <f>IF(B22&lt;&gt;"",VLOOKUP($C22,Setting!$C$4:$AC$23,15,FALSE),"")</f>
        <v>3</v>
      </c>
      <c r="P22" s="59">
        <f>IF(B22&lt;&gt;"",VLOOKUP($C22,Setting!$C$4:$AC$23,16,FALSE),"")</f>
        <v>7</v>
      </c>
      <c r="Q22" s="59">
        <f>IF(B22&lt;&gt;"",VLOOKUP($C22,Setting!$C$4:$AC$23,17,FALSE),"")</f>
        <v>6</v>
      </c>
      <c r="R22" s="59">
        <f>IF(B22&lt;&gt;"",VLOOKUP($C22,Setting!$C$4:$AC$23,18,FALSE),"")</f>
        <v>1</v>
      </c>
      <c r="S22" s="59">
        <f>IF(B22&lt;&gt;"",VLOOKUP($C22,Setting!$C$4:$AC$23,19,FALSE),"")</f>
        <v>6</v>
      </c>
      <c r="T22" s="59">
        <f>IF(B22&lt;&gt;"",VLOOKUP($C22,Setting!$C$4:$AC$23,20,FALSE),"")</f>
        <v>5</v>
      </c>
      <c r="U22" s="59">
        <f>IF(B22&lt;&gt;"",VLOOKUP($C22,Setting!$C$4:$AC$23,21,FALSE),"")</f>
        <v>2</v>
      </c>
      <c r="V22" s="59">
        <f>IF(B22&lt;&gt;"",VLOOKUP($C22,Setting!$C$4:$AC$23,22,FALSE),"")</f>
        <v>0</v>
      </c>
      <c r="W22" s="59">
        <f>IF(B22&lt;&gt;"",VLOOKUP($C22,Setting!$C$4:$AC$23,23,FALSE),"")</f>
        <v>3</v>
      </c>
      <c r="X22" s="59">
        <f>IF(B22&lt;&gt;"",VLOOKUP($C22,Setting!$C$4:$AC$23,24,FALSE),"")</f>
        <v>5</v>
      </c>
      <c r="Y22" s="59">
        <f>IF(B22&lt;&gt;"",VLOOKUP($C22,Setting!$C$4:$AC$23,25,FALSE),"")</f>
        <v>8</v>
      </c>
      <c r="Z22" s="59">
        <f>IF(B22&lt;&gt;"",VLOOKUP($C22,Setting!$C$4:$AC$23,26,FALSE),"")</f>
        <v>-3</v>
      </c>
      <c r="AA22" s="59">
        <f>IF(B22&lt;&gt;"",VLOOKUP($C22,Setting!$C$4:$AC$23,27,FALSE),"")</f>
        <v>6</v>
      </c>
    </row>
    <row r="23" spans="2:27" ht="10.5">
      <c r="B23" s="58">
        <f>IF(B22&lt;&gt;"",IF(B22='Initial Setup'!$B$2,"",B22+1),"")</f>
        <v>18</v>
      </c>
      <c r="C23" s="49" t="str">
        <f>IF(B23&lt;&gt;"",VLOOKUP(B23,Setting!B$4:AC$23,2,FALSE),"")</f>
        <v>Barcelona</v>
      </c>
      <c r="D23" s="59">
        <f>IF(B23&lt;&gt;"",VLOOKUP($C23,Setting!$C$4:$AC$23,4,FALSE),"")</f>
        <v>11</v>
      </c>
      <c r="E23" s="59">
        <f>IF(B23&lt;&gt;"",VLOOKUP($C23,Setting!$C$4:$AC$23,5,FALSE),"")</f>
        <v>4</v>
      </c>
      <c r="F23" s="59">
        <f>IF(B23&lt;&gt;"",VLOOKUP($C23,Setting!$C$4:$AC$23,6,FALSE),"")</f>
        <v>0</v>
      </c>
      <c r="G23" s="59">
        <f>IF(B23&lt;&gt;"",VLOOKUP($C23,Setting!$C$4:$AC$23,7,FALSE),"")</f>
        <v>7</v>
      </c>
      <c r="H23" s="59">
        <f>IF(B23&lt;&gt;"",VLOOKUP($C23,Setting!$C$4:$AC$23,8,FALSE),"")</f>
        <v>12</v>
      </c>
      <c r="I23" s="59">
        <f>IF(B23&lt;&gt;"",VLOOKUP($C23,Setting!$C$4:$AC$23,9,FALSE),"")</f>
        <v>16</v>
      </c>
      <c r="J23" s="59">
        <f>IF(B23&lt;&gt;"",VLOOKUP($C23,Setting!$C$4:$AC$23,10,FALSE),"")</f>
        <v>-4</v>
      </c>
      <c r="K23" s="60">
        <f>IF(B23&lt;&gt;"",VLOOKUP($C23,Setting!$C$4:$AC$23,11,FALSE),"")</f>
        <v>12</v>
      </c>
      <c r="L23" s="59">
        <f>IF(B23&lt;&gt;"",VLOOKUP($C23,Setting!$C$4:$AC$23,12,FALSE),"")</f>
        <v>5</v>
      </c>
      <c r="M23" s="59">
        <f>IF(B23&lt;&gt;"",VLOOKUP($C23,Setting!$C$4:$AC$23,13,FALSE),"")</f>
        <v>3</v>
      </c>
      <c r="N23" s="59">
        <f>IF(B23&lt;&gt;"",VLOOKUP($C23,Setting!$C$4:$AC$23,14,FALSE),"")</f>
        <v>0</v>
      </c>
      <c r="O23" s="59">
        <f>IF(B23&lt;&gt;"",VLOOKUP($C23,Setting!$C$4:$AC$23,15,FALSE),"")</f>
        <v>2</v>
      </c>
      <c r="P23" s="59">
        <f>IF(B23&lt;&gt;"",VLOOKUP($C23,Setting!$C$4:$AC$23,16,FALSE),"")</f>
        <v>8</v>
      </c>
      <c r="Q23" s="59">
        <f>IF(B23&lt;&gt;"",VLOOKUP($C23,Setting!$C$4:$AC$23,17,FALSE),"")</f>
        <v>5</v>
      </c>
      <c r="R23" s="59">
        <f>IF(B23&lt;&gt;"",VLOOKUP($C23,Setting!$C$4:$AC$23,18,FALSE),"")</f>
        <v>3</v>
      </c>
      <c r="S23" s="59">
        <f>IF(B23&lt;&gt;"",VLOOKUP($C23,Setting!$C$4:$AC$23,19,FALSE),"")</f>
        <v>9</v>
      </c>
      <c r="T23" s="59">
        <f>IF(B23&lt;&gt;"",VLOOKUP($C23,Setting!$C$4:$AC$23,20,FALSE),"")</f>
        <v>6</v>
      </c>
      <c r="U23" s="59">
        <f>IF(B23&lt;&gt;"",VLOOKUP($C23,Setting!$C$4:$AC$23,21,FALSE),"")</f>
        <v>1</v>
      </c>
      <c r="V23" s="59">
        <f>IF(B23&lt;&gt;"",VLOOKUP($C23,Setting!$C$4:$AC$23,22,FALSE),"")</f>
        <v>0</v>
      </c>
      <c r="W23" s="59">
        <f>IF(B23&lt;&gt;"",VLOOKUP($C23,Setting!$C$4:$AC$23,23,FALSE),"")</f>
        <v>5</v>
      </c>
      <c r="X23" s="59">
        <f>IF(B23&lt;&gt;"",VLOOKUP($C23,Setting!$C$4:$AC$23,24,FALSE),"")</f>
        <v>4</v>
      </c>
      <c r="Y23" s="59">
        <f>IF(B23&lt;&gt;"",VLOOKUP($C23,Setting!$C$4:$AC$23,25,FALSE),"")</f>
        <v>11</v>
      </c>
      <c r="Z23" s="59">
        <f>IF(B23&lt;&gt;"",VLOOKUP($C23,Setting!$C$4:$AC$23,26,FALSE),"")</f>
        <v>-7</v>
      </c>
      <c r="AA23" s="59">
        <f>IF(B23&lt;&gt;"",VLOOKUP($C23,Setting!$C$4:$AC$23,27,FALSE),"")</f>
        <v>3</v>
      </c>
    </row>
    <row r="24" spans="2:27" ht="10.5">
      <c r="B24" s="58">
        <f>IF(B23&lt;&gt;"",IF(B23='Initial Setup'!$B$2,"",B23+1),"")</f>
        <v>19</v>
      </c>
      <c r="C24" s="49" t="str">
        <f>IF(B24&lt;&gt;"",VLOOKUP(B24,Setting!B$4:AC$23,2,FALSE),"")</f>
        <v>Olympiakos</v>
      </c>
      <c r="D24" s="59">
        <f>IF(B24&lt;&gt;"",VLOOKUP($C24,Setting!$C$4:$AC$23,4,FALSE),"")</f>
        <v>11</v>
      </c>
      <c r="E24" s="59">
        <f>IF(B24&lt;&gt;"",VLOOKUP($C24,Setting!$C$4:$AC$23,5,FALSE),"")</f>
        <v>3</v>
      </c>
      <c r="F24" s="59">
        <f>IF(B24&lt;&gt;"",VLOOKUP($C24,Setting!$C$4:$AC$23,6,FALSE),"")</f>
        <v>2</v>
      </c>
      <c r="G24" s="59">
        <f>IF(B24&lt;&gt;"",VLOOKUP($C24,Setting!$C$4:$AC$23,7,FALSE),"")</f>
        <v>6</v>
      </c>
      <c r="H24" s="59">
        <f>IF(B24&lt;&gt;"",VLOOKUP($C24,Setting!$C$4:$AC$23,8,FALSE),"")</f>
        <v>13</v>
      </c>
      <c r="I24" s="59">
        <f>IF(B24&lt;&gt;"",VLOOKUP($C24,Setting!$C$4:$AC$23,9,FALSE),"")</f>
        <v>17</v>
      </c>
      <c r="J24" s="59">
        <f>IF(B24&lt;&gt;"",VLOOKUP($C24,Setting!$C$4:$AC$23,10,FALSE),"")</f>
        <v>-4</v>
      </c>
      <c r="K24" s="60">
        <f>IF(B24&lt;&gt;"",VLOOKUP($C24,Setting!$C$4:$AC$23,11,FALSE),"")</f>
        <v>11</v>
      </c>
      <c r="L24" s="59">
        <f>IF(B24&lt;&gt;"",VLOOKUP($C24,Setting!$C$4:$AC$23,12,FALSE),"")</f>
        <v>5</v>
      </c>
      <c r="M24" s="59">
        <f>IF(B24&lt;&gt;"",VLOOKUP($C24,Setting!$C$4:$AC$23,13,FALSE),"")</f>
        <v>2</v>
      </c>
      <c r="N24" s="59">
        <f>IF(B24&lt;&gt;"",VLOOKUP($C24,Setting!$C$4:$AC$23,14,FALSE),"")</f>
        <v>1</v>
      </c>
      <c r="O24" s="59">
        <f>IF(B24&lt;&gt;"",VLOOKUP($C24,Setting!$C$4:$AC$23,15,FALSE),"")</f>
        <v>2</v>
      </c>
      <c r="P24" s="59">
        <f>IF(B24&lt;&gt;"",VLOOKUP($C24,Setting!$C$4:$AC$23,16,FALSE),"")</f>
        <v>8</v>
      </c>
      <c r="Q24" s="59">
        <f>IF(B24&lt;&gt;"",VLOOKUP($C24,Setting!$C$4:$AC$23,17,FALSE),"")</f>
        <v>6</v>
      </c>
      <c r="R24" s="59">
        <f>IF(B24&lt;&gt;"",VLOOKUP($C24,Setting!$C$4:$AC$23,18,FALSE),"")</f>
        <v>2</v>
      </c>
      <c r="S24" s="59">
        <f>IF(B24&lt;&gt;"",VLOOKUP($C24,Setting!$C$4:$AC$23,19,FALSE),"")</f>
        <v>7</v>
      </c>
      <c r="T24" s="59">
        <f>IF(B24&lt;&gt;"",VLOOKUP($C24,Setting!$C$4:$AC$23,20,FALSE),"")</f>
        <v>6</v>
      </c>
      <c r="U24" s="59">
        <f>IF(B24&lt;&gt;"",VLOOKUP($C24,Setting!$C$4:$AC$23,21,FALSE),"")</f>
        <v>1</v>
      </c>
      <c r="V24" s="59">
        <f>IF(B24&lt;&gt;"",VLOOKUP($C24,Setting!$C$4:$AC$23,22,FALSE),"")</f>
        <v>1</v>
      </c>
      <c r="W24" s="59">
        <f>IF(B24&lt;&gt;"",VLOOKUP($C24,Setting!$C$4:$AC$23,23,FALSE),"")</f>
        <v>4</v>
      </c>
      <c r="X24" s="59">
        <f>IF(B24&lt;&gt;"",VLOOKUP($C24,Setting!$C$4:$AC$23,24,FALSE),"")</f>
        <v>5</v>
      </c>
      <c r="Y24" s="59">
        <f>IF(B24&lt;&gt;"",VLOOKUP($C24,Setting!$C$4:$AC$23,25,FALSE),"")</f>
        <v>11</v>
      </c>
      <c r="Z24" s="59">
        <f>IF(B24&lt;&gt;"",VLOOKUP($C24,Setting!$C$4:$AC$23,26,FALSE),"")</f>
        <v>-6</v>
      </c>
      <c r="AA24" s="59">
        <f>IF(B24&lt;&gt;"",VLOOKUP($C24,Setting!$C$4:$AC$23,27,FALSE),"")</f>
        <v>4</v>
      </c>
    </row>
    <row r="25" spans="2:27" ht="10.5">
      <c r="B25" s="58">
        <f>IF(B24&lt;&gt;"",IF(B24='Initial Setup'!$B$2,"",B24+1),"")</f>
        <v>20</v>
      </c>
      <c r="C25" s="49" t="str">
        <f>IF(B25&lt;&gt;"",VLOOKUP(B25,Setting!B$4:AC$23,2,FALSE),"")</f>
        <v>Glasgow Celtic</v>
      </c>
      <c r="D25" s="59">
        <f>IF(B25&lt;&gt;"",VLOOKUP($C25,Setting!$C$4:$AC$23,4,FALSE),"")</f>
        <v>11</v>
      </c>
      <c r="E25" s="59">
        <f>IF(B25&lt;&gt;"",VLOOKUP($C25,Setting!$C$4:$AC$23,5,FALSE),"")</f>
        <v>3</v>
      </c>
      <c r="F25" s="59">
        <f>IF(B25&lt;&gt;"",VLOOKUP($C25,Setting!$C$4:$AC$23,6,FALSE),"")</f>
        <v>2</v>
      </c>
      <c r="G25" s="59">
        <f>IF(B25&lt;&gt;"",VLOOKUP($C25,Setting!$C$4:$AC$23,7,FALSE),"")</f>
        <v>6</v>
      </c>
      <c r="H25" s="59">
        <f>IF(B25&lt;&gt;"",VLOOKUP($C25,Setting!$C$4:$AC$23,8,FALSE),"")</f>
        <v>13</v>
      </c>
      <c r="I25" s="59">
        <f>IF(B25&lt;&gt;"",VLOOKUP($C25,Setting!$C$4:$AC$23,9,FALSE),"")</f>
        <v>17</v>
      </c>
      <c r="J25" s="59">
        <f>IF(B25&lt;&gt;"",VLOOKUP($C25,Setting!$C$4:$AC$23,10,FALSE),"")</f>
        <v>-4</v>
      </c>
      <c r="K25" s="60">
        <f>IF(B25&lt;&gt;"",VLOOKUP($C25,Setting!$C$4:$AC$23,11,FALSE),"")</f>
        <v>11</v>
      </c>
      <c r="L25" s="59">
        <f>IF(B25&lt;&gt;"",VLOOKUP($C25,Setting!$C$4:$AC$23,12,FALSE),"")</f>
        <v>5</v>
      </c>
      <c r="M25" s="59">
        <f>IF(B25&lt;&gt;"",VLOOKUP($C25,Setting!$C$4:$AC$23,13,FALSE),"")</f>
        <v>2</v>
      </c>
      <c r="N25" s="59">
        <f>IF(B25&lt;&gt;"",VLOOKUP($C25,Setting!$C$4:$AC$23,14,FALSE),"")</f>
        <v>0</v>
      </c>
      <c r="O25" s="59">
        <f>IF(B25&lt;&gt;"",VLOOKUP($C25,Setting!$C$4:$AC$23,15,FALSE),"")</f>
        <v>3</v>
      </c>
      <c r="P25" s="59">
        <f>IF(B25&lt;&gt;"",VLOOKUP($C25,Setting!$C$4:$AC$23,16,FALSE),"")</f>
        <v>7</v>
      </c>
      <c r="Q25" s="59">
        <f>IF(B25&lt;&gt;"",VLOOKUP($C25,Setting!$C$4:$AC$23,17,FALSE),"")</f>
        <v>6</v>
      </c>
      <c r="R25" s="59">
        <f>IF(B25&lt;&gt;"",VLOOKUP($C25,Setting!$C$4:$AC$23,18,FALSE),"")</f>
        <v>1</v>
      </c>
      <c r="S25" s="59">
        <f>IF(B25&lt;&gt;"",VLOOKUP($C25,Setting!$C$4:$AC$23,19,FALSE),"")</f>
        <v>6</v>
      </c>
      <c r="T25" s="59">
        <f>IF(B25&lt;&gt;"",VLOOKUP($C25,Setting!$C$4:$AC$23,20,FALSE),"")</f>
        <v>6</v>
      </c>
      <c r="U25" s="59">
        <f>IF(B25&lt;&gt;"",VLOOKUP($C25,Setting!$C$4:$AC$23,21,FALSE),"")</f>
        <v>1</v>
      </c>
      <c r="V25" s="59">
        <f>IF(B25&lt;&gt;"",VLOOKUP($C25,Setting!$C$4:$AC$23,22,FALSE),"")</f>
        <v>2</v>
      </c>
      <c r="W25" s="59">
        <f>IF(B25&lt;&gt;"",VLOOKUP($C25,Setting!$C$4:$AC$23,23,FALSE),"")</f>
        <v>3</v>
      </c>
      <c r="X25" s="59">
        <f>IF(B25&lt;&gt;"",VLOOKUP($C25,Setting!$C$4:$AC$23,24,FALSE),"")</f>
        <v>6</v>
      </c>
      <c r="Y25" s="59">
        <f>IF(B25&lt;&gt;"",VLOOKUP($C25,Setting!$C$4:$AC$23,25,FALSE),"")</f>
        <v>11</v>
      </c>
      <c r="Z25" s="59">
        <f>IF(B25&lt;&gt;"",VLOOKUP($C25,Setting!$C$4:$AC$23,26,FALSE),"")</f>
        <v>-5</v>
      </c>
      <c r="AA25" s="59">
        <f>IF(B25&lt;&gt;"",VLOOKUP($C25,Setting!$C$4:$AC$23,27,FALSE),"")</f>
        <v>5</v>
      </c>
    </row>
    <row r="26" spans="2:27" ht="10.5">
      <c r="B26" s="58">
        <f>IF(B25&lt;&gt;"",IF(B25='Initial Setup'!$B$2,"",B25+1),"")</f>
      </c>
      <c r="C26" s="49">
        <f>IF(B26&lt;&gt;"",VLOOKUP(B26,Setting!B$4:AC$23,2,FALSE),"")</f>
      </c>
      <c r="D26" s="59">
        <f>IF(B26&lt;&gt;"",VLOOKUP($C26,Setting!$C$4:$AC$23,4,FALSE),"")</f>
      </c>
      <c r="E26" s="59">
        <f>IF(B26&lt;&gt;"",VLOOKUP($C26,Setting!$C$4:$AC$23,5,FALSE),"")</f>
      </c>
      <c r="F26" s="59">
        <f>IF(B26&lt;&gt;"",VLOOKUP($C26,Setting!$C$4:$AC$23,6,FALSE),"")</f>
      </c>
      <c r="G26" s="59">
        <f>IF(B26&lt;&gt;"",VLOOKUP($C26,Setting!$C$4:$AC$23,7,FALSE),"")</f>
      </c>
      <c r="H26" s="59">
        <f>IF(B26&lt;&gt;"",VLOOKUP($C26,Setting!$C$4:$AC$23,8,FALSE),"")</f>
      </c>
      <c r="I26" s="59">
        <f>IF(B26&lt;&gt;"",VLOOKUP($C26,Setting!$C$4:$AC$23,9,FALSE),"")</f>
      </c>
      <c r="J26" s="59">
        <f>IF(B26&lt;&gt;"",VLOOKUP($C26,Setting!$C$4:$AC$23,10,FALSE),"")</f>
      </c>
      <c r="K26" s="60">
        <f>IF(B26&lt;&gt;"",VLOOKUP($C26,Setting!$C$4:$AC$23,11,FALSE),"")</f>
      </c>
      <c r="L26" s="59">
        <f>IF(B26&lt;&gt;"",VLOOKUP($C26,Setting!$C$4:$AC$23,12,FALSE),"")</f>
      </c>
      <c r="M26" s="59">
        <f>IF(B26&lt;&gt;"",VLOOKUP($C26,Setting!$C$4:$AC$23,13,FALSE),"")</f>
      </c>
      <c r="N26" s="59">
        <f>IF(B26&lt;&gt;"",VLOOKUP($C26,Setting!$C$4:$AC$23,14,FALSE),"")</f>
      </c>
      <c r="O26" s="59">
        <f>IF(B26&lt;&gt;"",VLOOKUP($C26,Setting!$C$4:$AC$23,15,FALSE),"")</f>
      </c>
      <c r="P26" s="59">
        <f>IF(B26&lt;&gt;"",VLOOKUP($C26,Setting!$C$4:$AC$23,16,FALSE),"")</f>
      </c>
      <c r="Q26" s="59">
        <f>IF(B26&lt;&gt;"",VLOOKUP($C26,Setting!$C$4:$AC$23,17,FALSE),"")</f>
      </c>
      <c r="R26" s="59">
        <f>IF(B26&lt;&gt;"",VLOOKUP($C26,Setting!$C$4:$AC$23,18,FALSE),"")</f>
      </c>
      <c r="S26" s="59">
        <f>IF(B26&lt;&gt;"",VLOOKUP($C26,Setting!$C$4:$AC$23,19,FALSE),"")</f>
      </c>
      <c r="T26" s="59">
        <f>IF(B26&lt;&gt;"",VLOOKUP($C26,Setting!$C$4:$AC$23,20,FALSE),"")</f>
      </c>
      <c r="U26" s="59">
        <f>IF(B26&lt;&gt;"",VLOOKUP($C26,Setting!$C$4:$AC$23,21,FALSE),"")</f>
      </c>
      <c r="V26" s="59">
        <f>IF(B26&lt;&gt;"",VLOOKUP($C26,Setting!$C$4:$AC$23,22,FALSE),"")</f>
      </c>
      <c r="W26" s="59">
        <f>IF(B26&lt;&gt;"",VLOOKUP($C26,Setting!$C$4:$AC$23,23,FALSE),"")</f>
      </c>
      <c r="X26" s="59">
        <f>IF(B26&lt;&gt;"",VLOOKUP($C26,Setting!$C$4:$AC$23,24,FALSE),"")</f>
      </c>
      <c r="Y26" s="59">
        <f>IF(B26&lt;&gt;"",VLOOKUP($C26,Setting!$C$4:$AC$23,25,FALSE),"")</f>
      </c>
      <c r="Z26" s="59">
        <f>IF(B26&lt;&gt;"",VLOOKUP($C26,Setting!$C$4:$AC$23,26,FALSE),"")</f>
      </c>
      <c r="AA26" s="59">
        <f>IF(B26&lt;&gt;"",VLOOKUP($C26,Setting!$C$4:$AC$23,27,FALSE),"")</f>
      </c>
    </row>
    <row r="27" spans="2:27" ht="10.5">
      <c r="B27" s="58">
        <f>IF(B26&lt;&gt;"",IF(B26='Initial Setup'!$B$2,"",B26+1),"")</f>
      </c>
      <c r="C27" s="49">
        <f>IF(B27&lt;&gt;"",VLOOKUP(B27,Setting!B$4:AC$23,2,FALSE),"")</f>
      </c>
      <c r="D27" s="59">
        <f>IF(B27&lt;&gt;"",VLOOKUP($C27,Setting!$C$4:$AC$23,4,FALSE),"")</f>
      </c>
      <c r="E27" s="59">
        <f>IF(B27&lt;&gt;"",VLOOKUP($C27,Setting!$C$4:$AC$23,5,FALSE),"")</f>
      </c>
      <c r="F27" s="59">
        <f>IF(B27&lt;&gt;"",VLOOKUP($C27,Setting!$C$4:$AC$23,6,FALSE),"")</f>
      </c>
      <c r="G27" s="59">
        <f>IF(B27&lt;&gt;"",VLOOKUP($C27,Setting!$C$4:$AC$23,7,FALSE),"")</f>
      </c>
      <c r="H27" s="59">
        <f>IF(B27&lt;&gt;"",VLOOKUP($C27,Setting!$C$4:$AC$23,8,FALSE),"")</f>
      </c>
      <c r="I27" s="59">
        <f>IF(B27&lt;&gt;"",VLOOKUP($C27,Setting!$C$4:$AC$23,9,FALSE),"")</f>
      </c>
      <c r="J27" s="59">
        <f>IF(B27&lt;&gt;"",VLOOKUP($C27,Setting!$C$4:$AC$23,10,FALSE),"")</f>
      </c>
      <c r="K27" s="60">
        <f>IF(B27&lt;&gt;"",VLOOKUP($C27,Setting!$C$4:$AC$23,11,FALSE),"")</f>
      </c>
      <c r="L27" s="59">
        <f>IF(B27&lt;&gt;"",VLOOKUP($C27,Setting!$C$4:$AC$23,12,FALSE),"")</f>
      </c>
      <c r="M27" s="59">
        <f>IF(B27&lt;&gt;"",VLOOKUP($C27,Setting!$C$4:$AC$23,13,FALSE),"")</f>
      </c>
      <c r="N27" s="59">
        <f>IF(B27&lt;&gt;"",VLOOKUP($C27,Setting!$C$4:$AC$23,14,FALSE),"")</f>
      </c>
      <c r="O27" s="59">
        <f>IF(B27&lt;&gt;"",VLOOKUP($C27,Setting!$C$4:$AC$23,15,FALSE),"")</f>
      </c>
      <c r="P27" s="59">
        <f>IF(B27&lt;&gt;"",VLOOKUP($C27,Setting!$C$4:$AC$23,16,FALSE),"")</f>
      </c>
      <c r="Q27" s="59">
        <f>IF(B27&lt;&gt;"",VLOOKUP($C27,Setting!$C$4:$AC$23,17,FALSE),"")</f>
      </c>
      <c r="R27" s="59">
        <f>IF(B27&lt;&gt;"",VLOOKUP($C27,Setting!$C$4:$AC$23,18,FALSE),"")</f>
      </c>
      <c r="S27" s="59">
        <f>IF(B27&lt;&gt;"",VLOOKUP($C27,Setting!$C$4:$AC$23,19,FALSE),"")</f>
      </c>
      <c r="T27" s="59">
        <f>IF(B27&lt;&gt;"",VLOOKUP($C27,Setting!$C$4:$AC$23,20,FALSE),"")</f>
      </c>
      <c r="U27" s="59">
        <f>IF(B27&lt;&gt;"",VLOOKUP($C27,Setting!$C$4:$AC$23,21,FALSE),"")</f>
      </c>
      <c r="V27" s="59">
        <f>IF(B27&lt;&gt;"",VLOOKUP($C27,Setting!$C$4:$AC$23,22,FALSE),"")</f>
      </c>
      <c r="W27" s="59">
        <f>IF(B27&lt;&gt;"",VLOOKUP($C27,Setting!$C$4:$AC$23,23,FALSE),"")</f>
      </c>
      <c r="X27" s="59">
        <f>IF(B27&lt;&gt;"",VLOOKUP($C27,Setting!$C$4:$AC$23,24,FALSE),"")</f>
      </c>
      <c r="Y27" s="59">
        <f>IF(B27&lt;&gt;"",VLOOKUP($C27,Setting!$C$4:$AC$23,25,FALSE),"")</f>
      </c>
      <c r="Z27" s="59">
        <f>IF(B27&lt;&gt;"",VLOOKUP($C27,Setting!$C$4:$AC$23,26,FALSE),"")</f>
      </c>
      <c r="AA27" s="59">
        <f>IF(B27&lt;&gt;"",VLOOKUP($C27,Setting!$C$4:$AC$23,27,FALSE),"")</f>
      </c>
    </row>
    <row r="28" spans="2:27" ht="10.5">
      <c r="B28" s="58">
        <f>IF(B27&lt;&gt;"",IF(B27='Initial Setup'!$B$2,"",B27+1),"")</f>
      </c>
      <c r="C28" s="49">
        <f>IF(B28&lt;&gt;"",VLOOKUP(B28,Setting!B$4:AC$23,2,FALSE),"")</f>
      </c>
      <c r="D28" s="59">
        <f>IF(B28&lt;&gt;"",VLOOKUP($C28,Setting!$C$4:$AC$23,4,FALSE),"")</f>
      </c>
      <c r="E28" s="59">
        <f>IF(B28&lt;&gt;"",VLOOKUP($C28,Setting!$C$4:$AC$23,5,FALSE),"")</f>
      </c>
      <c r="F28" s="59">
        <f>IF(B28&lt;&gt;"",VLOOKUP($C28,Setting!$C$4:$AC$23,6,FALSE),"")</f>
      </c>
      <c r="G28" s="59">
        <f>IF(B28&lt;&gt;"",VLOOKUP($C28,Setting!$C$4:$AC$23,7,FALSE),"")</f>
      </c>
      <c r="H28" s="59">
        <f>IF(B28&lt;&gt;"",VLOOKUP($C28,Setting!$C$4:$AC$23,8,FALSE),"")</f>
      </c>
      <c r="I28" s="59">
        <f>IF(B28&lt;&gt;"",VLOOKUP($C28,Setting!$C$4:$AC$23,9,FALSE),"")</f>
      </c>
      <c r="J28" s="59">
        <f>IF(B28&lt;&gt;"",VLOOKUP($C28,Setting!$C$4:$AC$23,10,FALSE),"")</f>
      </c>
      <c r="K28" s="60">
        <f>IF(B28&lt;&gt;"",VLOOKUP($C28,Setting!$C$4:$AC$23,11,FALSE),"")</f>
      </c>
      <c r="L28" s="59">
        <f>IF(B28&lt;&gt;"",VLOOKUP($C28,Setting!$C$4:$AC$23,12,FALSE),"")</f>
      </c>
      <c r="M28" s="59">
        <f>IF(B28&lt;&gt;"",VLOOKUP($C28,Setting!$C$4:$AC$23,13,FALSE),"")</f>
      </c>
      <c r="N28" s="59">
        <f>IF(B28&lt;&gt;"",VLOOKUP($C28,Setting!$C$4:$AC$23,14,FALSE),"")</f>
      </c>
      <c r="O28" s="59">
        <f>IF(B28&lt;&gt;"",VLOOKUP($C28,Setting!$C$4:$AC$23,15,FALSE),"")</f>
      </c>
      <c r="P28" s="59">
        <f>IF(B28&lt;&gt;"",VLOOKUP($C28,Setting!$C$4:$AC$23,16,FALSE),"")</f>
      </c>
      <c r="Q28" s="59">
        <f>IF(B28&lt;&gt;"",VLOOKUP($C28,Setting!$C$4:$AC$23,17,FALSE),"")</f>
      </c>
      <c r="R28" s="59">
        <f>IF(B28&lt;&gt;"",VLOOKUP($C28,Setting!$C$4:$AC$23,18,FALSE),"")</f>
      </c>
      <c r="S28" s="59">
        <f>IF(B28&lt;&gt;"",VLOOKUP($C28,Setting!$C$4:$AC$23,19,FALSE),"")</f>
      </c>
      <c r="T28" s="59">
        <f>IF(B28&lt;&gt;"",VLOOKUP($C28,Setting!$C$4:$AC$23,20,FALSE),"")</f>
      </c>
      <c r="U28" s="59">
        <f>IF(B28&lt;&gt;"",VLOOKUP($C28,Setting!$C$4:$AC$23,21,FALSE),"")</f>
      </c>
      <c r="V28" s="59">
        <f>IF(B28&lt;&gt;"",VLOOKUP($C28,Setting!$C$4:$AC$23,22,FALSE),"")</f>
      </c>
      <c r="W28" s="59">
        <f>IF(B28&lt;&gt;"",VLOOKUP($C28,Setting!$C$4:$AC$23,23,FALSE),"")</f>
      </c>
      <c r="X28" s="59">
        <f>IF(B28&lt;&gt;"",VLOOKUP($C28,Setting!$C$4:$AC$23,24,FALSE),"")</f>
      </c>
      <c r="Y28" s="59">
        <f>IF(B28&lt;&gt;"",VLOOKUP($C28,Setting!$C$4:$AC$23,25,FALSE),"")</f>
      </c>
      <c r="Z28" s="59">
        <f>IF(B28&lt;&gt;"",VLOOKUP($C28,Setting!$C$4:$AC$23,26,FALSE),"")</f>
      </c>
      <c r="AA28" s="59">
        <f>IF(B28&lt;&gt;"",VLOOKUP($C28,Setting!$C$4:$AC$23,27,FALSE),"")</f>
      </c>
    </row>
    <row r="29" spans="2:27" ht="10.5">
      <c r="B29" s="58">
        <f>IF(B28&lt;&gt;"",IF(B28='Initial Setup'!$B$2,"",B28+1),"")</f>
      </c>
      <c r="C29" s="49">
        <f>IF(B29&lt;&gt;"",VLOOKUP(B29,Setting!B$4:AC$23,2,FALSE),"")</f>
      </c>
      <c r="D29" s="59">
        <f>IF(B29&lt;&gt;"",VLOOKUP($C29,Setting!$C$4:$AC$23,4,FALSE),"")</f>
      </c>
      <c r="E29" s="59">
        <f>IF(B29&lt;&gt;"",VLOOKUP($C29,Setting!$C$4:$AC$23,5,FALSE),"")</f>
      </c>
      <c r="F29" s="59">
        <f>IF(B29&lt;&gt;"",VLOOKUP($C29,Setting!$C$4:$AC$23,6,FALSE),"")</f>
      </c>
      <c r="G29" s="59">
        <f>IF(B29&lt;&gt;"",VLOOKUP($C29,Setting!$C$4:$AC$23,7,FALSE),"")</f>
      </c>
      <c r="H29" s="59">
        <f>IF(B29&lt;&gt;"",VLOOKUP($C29,Setting!$C$4:$AC$23,8,FALSE),"")</f>
      </c>
      <c r="I29" s="59">
        <f>IF(B29&lt;&gt;"",VLOOKUP($C29,Setting!$C$4:$AC$23,9,FALSE),"")</f>
      </c>
      <c r="J29" s="59">
        <f>IF(B29&lt;&gt;"",VLOOKUP($C29,Setting!$C$4:$AC$23,10,FALSE),"")</f>
      </c>
      <c r="K29" s="60">
        <f>IF(B29&lt;&gt;"",VLOOKUP($C29,Setting!$C$4:$AC$23,11,FALSE),"")</f>
      </c>
      <c r="L29" s="59">
        <f>IF(B29&lt;&gt;"",VLOOKUP($C29,Setting!$C$4:$AC$23,12,FALSE),"")</f>
      </c>
      <c r="M29" s="59">
        <f>IF(B29&lt;&gt;"",VLOOKUP($C29,Setting!$C$4:$AC$23,13,FALSE),"")</f>
      </c>
      <c r="N29" s="59">
        <f>IF(B29&lt;&gt;"",VLOOKUP($C29,Setting!$C$4:$AC$23,14,FALSE),"")</f>
      </c>
      <c r="O29" s="59">
        <f>IF(B29&lt;&gt;"",VLOOKUP($C29,Setting!$C$4:$AC$23,15,FALSE),"")</f>
      </c>
      <c r="P29" s="59">
        <f>IF(B29&lt;&gt;"",VLOOKUP($C29,Setting!$C$4:$AC$23,16,FALSE),"")</f>
      </c>
      <c r="Q29" s="59">
        <f>IF(B29&lt;&gt;"",VLOOKUP($C29,Setting!$C$4:$AC$23,17,FALSE),"")</f>
      </c>
      <c r="R29" s="59">
        <f>IF(B29&lt;&gt;"",VLOOKUP($C29,Setting!$C$4:$AC$23,18,FALSE),"")</f>
      </c>
      <c r="S29" s="59">
        <f>IF(B29&lt;&gt;"",VLOOKUP($C29,Setting!$C$4:$AC$23,19,FALSE),"")</f>
      </c>
      <c r="T29" s="59">
        <f>IF(B29&lt;&gt;"",VLOOKUP($C29,Setting!$C$4:$AC$23,20,FALSE),"")</f>
      </c>
      <c r="U29" s="59">
        <f>IF(B29&lt;&gt;"",VLOOKUP($C29,Setting!$C$4:$AC$23,21,FALSE),"")</f>
      </c>
      <c r="V29" s="59">
        <f>IF(B29&lt;&gt;"",VLOOKUP($C29,Setting!$C$4:$AC$23,22,FALSE),"")</f>
      </c>
      <c r="W29" s="59">
        <f>IF(B29&lt;&gt;"",VLOOKUP($C29,Setting!$C$4:$AC$23,23,FALSE),"")</f>
      </c>
      <c r="X29" s="59">
        <f>IF(B29&lt;&gt;"",VLOOKUP($C29,Setting!$C$4:$AC$23,24,FALSE),"")</f>
      </c>
      <c r="Y29" s="59">
        <f>IF(B29&lt;&gt;"",VLOOKUP($C29,Setting!$C$4:$AC$23,25,FALSE),"")</f>
      </c>
      <c r="Z29" s="59">
        <f>IF(B29&lt;&gt;"",VLOOKUP($C29,Setting!$C$4:$AC$23,26,FALSE),"")</f>
      </c>
      <c r="AA29" s="59">
        <f>IF(B29&lt;&gt;"",VLOOKUP($C29,Setting!$C$4:$AC$23,27,FALSE),"")</f>
      </c>
    </row>
    <row r="40" ht="12.75">
      <c r="H40" s="61"/>
    </row>
  </sheetData>
  <sheetProtection password="ECEE" sheet="1" objects="1" scenarios="1"/>
  <mergeCells count="13">
    <mergeCell ref="T4:AA4"/>
    <mergeCell ref="J4:J5"/>
    <mergeCell ref="K4:K5"/>
    <mergeCell ref="B4:B5"/>
    <mergeCell ref="C4:C5"/>
    <mergeCell ref="D4:D5"/>
    <mergeCell ref="E4:E5"/>
    <mergeCell ref="L2:AA2"/>
    <mergeCell ref="F4:F5"/>
    <mergeCell ref="G4:G5"/>
    <mergeCell ref="H4:H5"/>
    <mergeCell ref="I4:I5"/>
    <mergeCell ref="L4:S4"/>
  </mergeCells>
  <conditionalFormatting sqref="C6:AA29 B7:B29">
    <cfRule type="expression" priority="1" dxfId="9" stopIfTrue="1">
      <formula>$B6&lt;&gt;""</formula>
    </cfRule>
  </conditionalFormatting>
  <conditionalFormatting sqref="B6">
    <cfRule type="expression" priority="2" dxfId="9" stopIfTrue="1">
      <formula>$B$6&lt;&gt;""</formula>
    </cfRule>
  </conditionalFormatting>
  <hyperlinks>
    <hyperlink ref="L2:AA2" r:id="rId1" display="VISIT EXCELTEMPLATE.NET FOR MORE TEMPLATES AND UPDATES"/>
  </hyperlinks>
  <printOptions/>
  <pageMargins left="0.75" right="0.75" top="0.37" bottom="0.5" header="0.27" footer="0.38"/>
  <pageSetup fitToHeight="1" fitToWidth="1" horizontalDpi="300" verticalDpi="300" orientation="landscape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2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2.75" customHeight="1"/>
  <cols>
    <col min="1" max="1" width="6.8515625" style="3" customWidth="1"/>
    <col min="2" max="2" width="9.140625" style="2" customWidth="1"/>
    <col min="3" max="3" width="7.140625" style="2" customWidth="1"/>
    <col min="4" max="4" width="20.8515625" style="4" bestFit="1" customWidth="1"/>
    <col min="5" max="6" width="4.7109375" style="6" customWidth="1"/>
    <col min="7" max="7" width="20.8515625" style="5" bestFit="1" customWidth="1"/>
    <col min="8" max="8" width="30.8515625" style="2" bestFit="1" customWidth="1"/>
    <col min="9" max="9" width="4.140625" style="1" bestFit="1" customWidth="1"/>
    <col min="10" max="10" width="4.7109375" style="1" customWidth="1"/>
    <col min="11" max="11" width="1.57421875" style="1" customWidth="1"/>
    <col min="12" max="14" width="4.7109375" style="1" customWidth="1"/>
    <col min="15" max="16384" width="9.140625" style="1" customWidth="1"/>
  </cols>
  <sheetData>
    <row r="2" spans="1:9" s="2" customFormat="1" ht="12.75" customHeight="1">
      <c r="A2" s="22" t="s">
        <v>23</v>
      </c>
      <c r="B2" s="22" t="s">
        <v>24</v>
      </c>
      <c r="C2" s="23" t="s">
        <v>25</v>
      </c>
      <c r="D2" s="24" t="s">
        <v>26</v>
      </c>
      <c r="E2" s="72" t="s">
        <v>27</v>
      </c>
      <c r="F2" s="72"/>
      <c r="G2" s="24" t="s">
        <v>28</v>
      </c>
      <c r="H2" s="73" t="s">
        <v>29</v>
      </c>
      <c r="I2" s="74"/>
    </row>
    <row r="3" spans="1:7" ht="12.75" customHeight="1">
      <c r="A3" s="3">
        <v>1</v>
      </c>
      <c r="B3" s="16">
        <v>39676</v>
      </c>
      <c r="C3" s="17">
        <v>0.625</v>
      </c>
      <c r="D3" s="4" t="s">
        <v>39</v>
      </c>
      <c r="E3" s="18">
        <v>2</v>
      </c>
      <c r="F3" s="18">
        <v>2</v>
      </c>
      <c r="G3" s="5" t="s">
        <v>40</v>
      </c>
    </row>
    <row r="4" spans="1:7" ht="12.75" customHeight="1">
      <c r="A4" s="3">
        <v>1</v>
      </c>
      <c r="B4" s="16">
        <v>39676</v>
      </c>
      <c r="C4" s="17">
        <v>0.625</v>
      </c>
      <c r="D4" s="4" t="s">
        <v>41</v>
      </c>
      <c r="E4" s="18">
        <v>2</v>
      </c>
      <c r="F4" s="18">
        <v>2</v>
      </c>
      <c r="G4" s="5" t="s">
        <v>42</v>
      </c>
    </row>
    <row r="5" spans="1:7" ht="12.75" customHeight="1">
      <c r="A5" s="3">
        <v>1</v>
      </c>
      <c r="B5" s="16">
        <v>39676</v>
      </c>
      <c r="C5" s="17">
        <v>0.625</v>
      </c>
      <c r="D5" s="4" t="s">
        <v>43</v>
      </c>
      <c r="E5" s="18">
        <v>1</v>
      </c>
      <c r="F5" s="18">
        <v>2</v>
      </c>
      <c r="G5" s="5" t="s">
        <v>45</v>
      </c>
    </row>
    <row r="6" spans="1:7" ht="12.75" customHeight="1">
      <c r="A6" s="3">
        <v>1</v>
      </c>
      <c r="B6" s="16">
        <v>39676</v>
      </c>
      <c r="C6" s="17">
        <v>0.625</v>
      </c>
      <c r="D6" s="4" t="s">
        <v>44</v>
      </c>
      <c r="E6" s="18">
        <v>1</v>
      </c>
      <c r="F6" s="18">
        <v>2</v>
      </c>
      <c r="G6" s="5" t="s">
        <v>46</v>
      </c>
    </row>
    <row r="7" spans="1:7" ht="12.75" customHeight="1">
      <c r="A7" s="3">
        <v>1</v>
      </c>
      <c r="B7" s="16">
        <v>39676</v>
      </c>
      <c r="C7" s="17">
        <v>0.625</v>
      </c>
      <c r="D7" s="4" t="s">
        <v>47</v>
      </c>
      <c r="E7" s="18">
        <v>2</v>
      </c>
      <c r="F7" s="18">
        <v>1</v>
      </c>
      <c r="G7" s="5" t="s">
        <v>1</v>
      </c>
    </row>
    <row r="8" spans="1:7" ht="12.75" customHeight="1">
      <c r="A8" s="3">
        <v>1</v>
      </c>
      <c r="B8" s="16">
        <v>39676</v>
      </c>
      <c r="C8" s="17">
        <v>0.625</v>
      </c>
      <c r="D8" s="4" t="s">
        <v>53</v>
      </c>
      <c r="E8" s="18">
        <v>2</v>
      </c>
      <c r="F8" s="18">
        <v>1</v>
      </c>
      <c r="G8" s="5" t="s">
        <v>2</v>
      </c>
    </row>
    <row r="9" spans="1:7" ht="12.75" customHeight="1">
      <c r="A9" s="3">
        <v>1</v>
      </c>
      <c r="B9" s="16">
        <v>39676</v>
      </c>
      <c r="C9" s="17">
        <v>0.625</v>
      </c>
      <c r="D9" s="4" t="s">
        <v>3</v>
      </c>
      <c r="E9" s="18">
        <v>2</v>
      </c>
      <c r="F9" s="18">
        <v>2</v>
      </c>
      <c r="G9" s="5" t="s">
        <v>0</v>
      </c>
    </row>
    <row r="10" spans="1:7" ht="12.75" customHeight="1">
      <c r="A10" s="3">
        <v>1</v>
      </c>
      <c r="B10" s="16">
        <v>39676</v>
      </c>
      <c r="C10" s="17">
        <v>0.625</v>
      </c>
      <c r="D10" s="4" t="s">
        <v>50</v>
      </c>
      <c r="E10" s="18">
        <v>2</v>
      </c>
      <c r="F10" s="18">
        <v>2</v>
      </c>
      <c r="G10" s="5" t="s">
        <v>51</v>
      </c>
    </row>
    <row r="11" spans="1:7" ht="12.75" customHeight="1">
      <c r="A11" s="3">
        <v>1</v>
      </c>
      <c r="B11" s="16">
        <v>39676</v>
      </c>
      <c r="C11" s="17">
        <v>0.625</v>
      </c>
      <c r="D11" s="4" t="s">
        <v>48</v>
      </c>
      <c r="E11" s="18">
        <v>1</v>
      </c>
      <c r="F11" s="18">
        <v>2</v>
      </c>
      <c r="G11" s="5" t="s">
        <v>49</v>
      </c>
    </row>
    <row r="12" spans="1:7" ht="12.75" customHeight="1">
      <c r="A12" s="3">
        <v>1</v>
      </c>
      <c r="B12" s="16">
        <v>39676</v>
      </c>
      <c r="C12" s="17">
        <v>0.625</v>
      </c>
      <c r="D12" s="4" t="s">
        <v>52</v>
      </c>
      <c r="E12" s="18">
        <v>1</v>
      </c>
      <c r="F12" s="18">
        <v>2</v>
      </c>
      <c r="G12" s="5" t="s">
        <v>54</v>
      </c>
    </row>
    <row r="13" spans="1:7" ht="12.75" customHeight="1">
      <c r="A13" s="3">
        <f>A3+1</f>
        <v>2</v>
      </c>
      <c r="B13" s="16">
        <v>39683</v>
      </c>
      <c r="C13" s="17">
        <v>0.625</v>
      </c>
      <c r="D13" s="4" t="s">
        <v>40</v>
      </c>
      <c r="E13" s="18">
        <v>2</v>
      </c>
      <c r="F13" s="18">
        <v>1</v>
      </c>
      <c r="G13" s="5" t="s">
        <v>47</v>
      </c>
    </row>
    <row r="14" spans="1:7" ht="12.75" customHeight="1">
      <c r="A14" s="3">
        <f aca="true" t="shared" si="0" ref="A14:A22">A4+1</f>
        <v>2</v>
      </c>
      <c r="B14" s="16">
        <v>39683</v>
      </c>
      <c r="C14" s="17">
        <v>0.625</v>
      </c>
      <c r="D14" s="4" t="s">
        <v>46</v>
      </c>
      <c r="E14" s="18">
        <v>2</v>
      </c>
      <c r="F14" s="18">
        <v>1</v>
      </c>
      <c r="G14" s="5" t="s">
        <v>50</v>
      </c>
    </row>
    <row r="15" spans="1:7" ht="12.75" customHeight="1">
      <c r="A15" s="3">
        <f t="shared" si="0"/>
        <v>2</v>
      </c>
      <c r="B15" s="16">
        <v>39683</v>
      </c>
      <c r="C15" s="17">
        <v>0.625</v>
      </c>
      <c r="D15" s="4" t="s">
        <v>2</v>
      </c>
      <c r="E15" s="18">
        <v>2</v>
      </c>
      <c r="F15" s="18">
        <v>2</v>
      </c>
      <c r="G15" s="5" t="s">
        <v>3</v>
      </c>
    </row>
    <row r="16" spans="1:7" ht="12.75" customHeight="1">
      <c r="A16" s="3">
        <f t="shared" si="0"/>
        <v>2</v>
      </c>
      <c r="B16" s="16">
        <v>39683</v>
      </c>
      <c r="C16" s="17">
        <v>0.625</v>
      </c>
      <c r="D16" s="4" t="s">
        <v>45</v>
      </c>
      <c r="E16" s="18">
        <v>2</v>
      </c>
      <c r="F16" s="18">
        <v>2</v>
      </c>
      <c r="G16" s="5" t="s">
        <v>41</v>
      </c>
    </row>
    <row r="17" spans="1:7" ht="12.75" customHeight="1">
      <c r="A17" s="3">
        <f t="shared" si="0"/>
        <v>2</v>
      </c>
      <c r="B17" s="16">
        <v>39683</v>
      </c>
      <c r="C17" s="17">
        <v>0.625</v>
      </c>
      <c r="D17" s="4" t="s">
        <v>0</v>
      </c>
      <c r="E17" s="18">
        <v>1</v>
      </c>
      <c r="F17" s="18">
        <v>2</v>
      </c>
      <c r="G17" s="5" t="s">
        <v>44</v>
      </c>
    </row>
    <row r="18" spans="1:7" ht="12.75" customHeight="1">
      <c r="A18" s="3">
        <f t="shared" si="0"/>
        <v>2</v>
      </c>
      <c r="B18" s="16">
        <v>39683</v>
      </c>
      <c r="C18" s="17">
        <v>0.625</v>
      </c>
      <c r="D18" s="4" t="s">
        <v>54</v>
      </c>
      <c r="E18" s="18">
        <v>1</v>
      </c>
      <c r="F18" s="18">
        <v>2</v>
      </c>
      <c r="G18" s="5" t="s">
        <v>53</v>
      </c>
    </row>
    <row r="19" spans="1:7" ht="12.75" customHeight="1">
      <c r="A19" s="3">
        <f t="shared" si="0"/>
        <v>2</v>
      </c>
      <c r="B19" s="16">
        <v>39683</v>
      </c>
      <c r="C19" s="17">
        <v>0.625</v>
      </c>
      <c r="D19" s="4" t="s">
        <v>42</v>
      </c>
      <c r="E19" s="18">
        <v>2</v>
      </c>
      <c r="F19" s="18">
        <v>1</v>
      </c>
      <c r="G19" s="5" t="s">
        <v>43</v>
      </c>
    </row>
    <row r="20" spans="1:7" ht="12.75" customHeight="1">
      <c r="A20" s="3">
        <f t="shared" si="0"/>
        <v>2</v>
      </c>
      <c r="B20" s="16">
        <v>39683</v>
      </c>
      <c r="C20" s="17">
        <v>0.625</v>
      </c>
      <c r="D20" s="4" t="s">
        <v>1</v>
      </c>
      <c r="E20" s="18">
        <v>2</v>
      </c>
      <c r="F20" s="18">
        <v>1</v>
      </c>
      <c r="G20" s="5" t="s">
        <v>48</v>
      </c>
    </row>
    <row r="21" spans="1:7" ht="12.75" customHeight="1">
      <c r="A21" s="3">
        <f t="shared" si="0"/>
        <v>2</v>
      </c>
      <c r="B21" s="16">
        <v>39683</v>
      </c>
      <c r="C21" s="17">
        <v>0.625</v>
      </c>
      <c r="D21" s="4" t="s">
        <v>51</v>
      </c>
      <c r="E21" s="18">
        <v>2</v>
      </c>
      <c r="F21" s="18">
        <v>2</v>
      </c>
      <c r="G21" s="5" t="s">
        <v>52</v>
      </c>
    </row>
    <row r="22" spans="1:7" ht="12.75" customHeight="1">
      <c r="A22" s="3">
        <f t="shared" si="0"/>
        <v>2</v>
      </c>
      <c r="B22" s="16">
        <v>39683</v>
      </c>
      <c r="C22" s="17">
        <v>0.625</v>
      </c>
      <c r="D22" s="4" t="s">
        <v>49</v>
      </c>
      <c r="E22" s="18">
        <v>2</v>
      </c>
      <c r="F22" s="18">
        <v>2</v>
      </c>
      <c r="G22" s="5" t="s">
        <v>39</v>
      </c>
    </row>
    <row r="23" spans="1:7" ht="12.75" customHeight="1">
      <c r="A23" s="3">
        <f>A13+1</f>
        <v>3</v>
      </c>
      <c r="B23" s="16">
        <v>39690</v>
      </c>
      <c r="C23" s="17">
        <v>0.625</v>
      </c>
      <c r="D23" s="4" t="s">
        <v>48</v>
      </c>
      <c r="E23" s="18">
        <v>1</v>
      </c>
      <c r="F23" s="18">
        <v>2</v>
      </c>
      <c r="G23" s="5" t="s">
        <v>2</v>
      </c>
    </row>
    <row r="24" spans="1:7" ht="12.75" customHeight="1">
      <c r="A24" s="3">
        <f aca="true" t="shared" si="1" ref="A24:A32">A14+1</f>
        <v>3</v>
      </c>
      <c r="B24" s="16">
        <v>39690</v>
      </c>
      <c r="C24" s="17">
        <v>0.625</v>
      </c>
      <c r="D24" s="4" t="s">
        <v>47</v>
      </c>
      <c r="E24" s="18">
        <v>1</v>
      </c>
      <c r="F24" s="18">
        <v>2</v>
      </c>
      <c r="G24" s="5" t="s">
        <v>0</v>
      </c>
    </row>
    <row r="25" spans="1:7" ht="12.75" customHeight="1">
      <c r="A25" s="3">
        <f t="shared" si="1"/>
        <v>3</v>
      </c>
      <c r="B25" s="16">
        <v>39690</v>
      </c>
      <c r="C25" s="17">
        <v>0.625</v>
      </c>
      <c r="D25" s="4" t="s">
        <v>50</v>
      </c>
      <c r="E25" s="18">
        <v>2</v>
      </c>
      <c r="F25" s="18">
        <v>1</v>
      </c>
      <c r="G25" s="5" t="s">
        <v>45</v>
      </c>
    </row>
    <row r="26" spans="1:7" ht="12.75" customHeight="1">
      <c r="A26" s="3">
        <f t="shared" si="1"/>
        <v>3</v>
      </c>
      <c r="B26" s="16">
        <v>39690</v>
      </c>
      <c r="C26" s="17">
        <v>0.625</v>
      </c>
      <c r="D26" s="4" t="s">
        <v>53</v>
      </c>
      <c r="E26" s="18">
        <v>2</v>
      </c>
      <c r="F26" s="18">
        <v>1</v>
      </c>
      <c r="G26" s="5" t="s">
        <v>42</v>
      </c>
    </row>
    <row r="27" spans="1:7" ht="12.75" customHeight="1">
      <c r="A27" s="3">
        <f t="shared" si="1"/>
        <v>3</v>
      </c>
      <c r="B27" s="16">
        <v>39690</v>
      </c>
      <c r="C27" s="17">
        <v>0.625</v>
      </c>
      <c r="D27" s="4" t="s">
        <v>41</v>
      </c>
      <c r="E27" s="18">
        <v>2</v>
      </c>
      <c r="F27" s="18">
        <v>2</v>
      </c>
      <c r="G27" s="5" t="s">
        <v>46</v>
      </c>
    </row>
    <row r="28" spans="1:7" ht="12.75" customHeight="1">
      <c r="A28" s="3">
        <f t="shared" si="1"/>
        <v>3</v>
      </c>
      <c r="B28" s="16">
        <v>39690</v>
      </c>
      <c r="C28" s="17">
        <v>0.625</v>
      </c>
      <c r="D28" s="4" t="s">
        <v>44</v>
      </c>
      <c r="E28" s="18">
        <v>2</v>
      </c>
      <c r="F28" s="18">
        <v>2</v>
      </c>
      <c r="G28" s="5" t="s">
        <v>1</v>
      </c>
    </row>
    <row r="29" spans="1:7" ht="12.75" customHeight="1">
      <c r="A29" s="3">
        <f t="shared" si="1"/>
        <v>3</v>
      </c>
      <c r="B29" s="16">
        <v>39690</v>
      </c>
      <c r="C29" s="17">
        <v>0.625</v>
      </c>
      <c r="D29" s="4" t="s">
        <v>52</v>
      </c>
      <c r="E29" s="18">
        <v>1</v>
      </c>
      <c r="F29" s="18">
        <v>2</v>
      </c>
      <c r="G29" s="5" t="s">
        <v>49</v>
      </c>
    </row>
    <row r="30" spans="1:7" ht="12.75" customHeight="1">
      <c r="A30" s="3">
        <f t="shared" si="1"/>
        <v>3</v>
      </c>
      <c r="B30" s="16">
        <v>39690</v>
      </c>
      <c r="C30" s="17">
        <v>0.625</v>
      </c>
      <c r="D30" s="4" t="s">
        <v>3</v>
      </c>
      <c r="E30" s="18">
        <v>1</v>
      </c>
      <c r="F30" s="18">
        <v>2</v>
      </c>
      <c r="G30" s="5" t="s">
        <v>40</v>
      </c>
    </row>
    <row r="31" spans="1:7" ht="12.75" customHeight="1">
      <c r="A31" s="3">
        <f t="shared" si="1"/>
        <v>3</v>
      </c>
      <c r="B31" s="16">
        <v>39690</v>
      </c>
      <c r="C31" s="17">
        <v>0.625</v>
      </c>
      <c r="D31" s="4" t="s">
        <v>39</v>
      </c>
      <c r="E31" s="18">
        <v>2</v>
      </c>
      <c r="F31" s="18">
        <v>1</v>
      </c>
      <c r="G31" s="5" t="s">
        <v>54</v>
      </c>
    </row>
    <row r="32" spans="1:7" ht="12.75" customHeight="1">
      <c r="A32" s="3">
        <f t="shared" si="1"/>
        <v>3</v>
      </c>
      <c r="B32" s="16">
        <v>39690</v>
      </c>
      <c r="C32" s="17">
        <v>0.625</v>
      </c>
      <c r="D32" s="4" t="s">
        <v>43</v>
      </c>
      <c r="E32" s="18">
        <v>2</v>
      </c>
      <c r="F32" s="18">
        <v>1</v>
      </c>
      <c r="G32" s="5" t="s">
        <v>51</v>
      </c>
    </row>
    <row r="33" spans="1:8" ht="12.75" customHeight="1">
      <c r="A33" s="3">
        <f>A23+1</f>
        <v>4</v>
      </c>
      <c r="B33" s="19">
        <v>39704</v>
      </c>
      <c r="C33" s="20">
        <v>0.625</v>
      </c>
      <c r="D33" s="4" t="s">
        <v>1</v>
      </c>
      <c r="E33" s="18">
        <v>2</v>
      </c>
      <c r="F33" s="18">
        <v>2</v>
      </c>
      <c r="G33" s="5" t="s">
        <v>52</v>
      </c>
      <c r="H33" s="21"/>
    </row>
    <row r="34" spans="1:8" ht="12.75" customHeight="1">
      <c r="A34" s="3">
        <f aca="true" t="shared" si="2" ref="A34:A42">A24+1</f>
        <v>4</v>
      </c>
      <c r="B34" s="19">
        <v>39704</v>
      </c>
      <c r="C34" s="20">
        <v>0.625</v>
      </c>
      <c r="D34" s="4" t="s">
        <v>0</v>
      </c>
      <c r="E34" s="18">
        <v>2</v>
      </c>
      <c r="F34" s="18">
        <v>2</v>
      </c>
      <c r="G34" s="5" t="s">
        <v>39</v>
      </c>
      <c r="H34" s="21"/>
    </row>
    <row r="35" spans="1:8" ht="12.75" customHeight="1">
      <c r="A35" s="3">
        <f t="shared" si="2"/>
        <v>4</v>
      </c>
      <c r="B35" s="19">
        <v>39704</v>
      </c>
      <c r="C35" s="20">
        <v>0.625</v>
      </c>
      <c r="D35" s="4" t="s">
        <v>51</v>
      </c>
      <c r="E35" s="18">
        <v>1</v>
      </c>
      <c r="F35" s="18">
        <v>2</v>
      </c>
      <c r="G35" s="5" t="s">
        <v>53</v>
      </c>
      <c r="H35" s="21"/>
    </row>
    <row r="36" spans="1:8" ht="12.75" customHeight="1">
      <c r="A36" s="3">
        <f t="shared" si="2"/>
        <v>4</v>
      </c>
      <c r="B36" s="19">
        <v>39704</v>
      </c>
      <c r="C36" s="20">
        <v>0.625</v>
      </c>
      <c r="D36" s="4" t="s">
        <v>46</v>
      </c>
      <c r="E36" s="18">
        <v>1</v>
      </c>
      <c r="F36" s="18">
        <v>2</v>
      </c>
      <c r="G36" s="5" t="s">
        <v>48</v>
      </c>
      <c r="H36" s="21"/>
    </row>
    <row r="37" spans="1:8" ht="12.75" customHeight="1">
      <c r="A37" s="3">
        <f t="shared" si="2"/>
        <v>4</v>
      </c>
      <c r="B37" s="19">
        <v>39704</v>
      </c>
      <c r="C37" s="20">
        <v>0.625</v>
      </c>
      <c r="D37" s="4" t="s">
        <v>54</v>
      </c>
      <c r="E37" s="18">
        <v>2</v>
      </c>
      <c r="F37" s="18">
        <v>1</v>
      </c>
      <c r="G37" s="5" t="s">
        <v>43</v>
      </c>
      <c r="H37" s="21"/>
    </row>
    <row r="38" spans="1:8" ht="12.75" customHeight="1">
      <c r="A38" s="3">
        <f t="shared" si="2"/>
        <v>4</v>
      </c>
      <c r="B38" s="19">
        <v>39704</v>
      </c>
      <c r="C38" s="20">
        <v>0.625</v>
      </c>
      <c r="D38" s="4" t="s">
        <v>45</v>
      </c>
      <c r="E38" s="18">
        <v>2</v>
      </c>
      <c r="F38" s="18">
        <v>1</v>
      </c>
      <c r="G38" s="5" t="s">
        <v>3</v>
      </c>
      <c r="H38" s="21"/>
    </row>
    <row r="39" spans="1:8" ht="12.75" customHeight="1">
      <c r="A39" s="3">
        <f t="shared" si="2"/>
        <v>4</v>
      </c>
      <c r="B39" s="19">
        <v>39704</v>
      </c>
      <c r="C39" s="20">
        <v>0.625</v>
      </c>
      <c r="D39" s="4" t="s">
        <v>2</v>
      </c>
      <c r="E39" s="18">
        <v>1</v>
      </c>
      <c r="F39" s="18">
        <v>2</v>
      </c>
      <c r="G39" s="5" t="s">
        <v>41</v>
      </c>
      <c r="H39" s="21"/>
    </row>
    <row r="40" spans="1:8" ht="12.75" customHeight="1">
      <c r="A40" s="3">
        <f t="shared" si="2"/>
        <v>4</v>
      </c>
      <c r="B40" s="19">
        <v>39704</v>
      </c>
      <c r="C40" s="20">
        <v>0.625</v>
      </c>
      <c r="D40" s="4" t="s">
        <v>40</v>
      </c>
      <c r="E40" s="18">
        <v>1</v>
      </c>
      <c r="F40" s="18">
        <v>2</v>
      </c>
      <c r="G40" s="5" t="s">
        <v>44</v>
      </c>
      <c r="H40" s="21"/>
    </row>
    <row r="41" spans="1:8" ht="12.75" customHeight="1">
      <c r="A41" s="3">
        <f t="shared" si="2"/>
        <v>4</v>
      </c>
      <c r="B41" s="19">
        <v>39704</v>
      </c>
      <c r="C41" s="20">
        <v>0.625</v>
      </c>
      <c r="D41" s="4" t="s">
        <v>42</v>
      </c>
      <c r="E41" s="18">
        <v>1</v>
      </c>
      <c r="F41" s="18">
        <v>2</v>
      </c>
      <c r="G41" s="5" t="s">
        <v>50</v>
      </c>
      <c r="H41" s="21"/>
    </row>
    <row r="42" spans="1:8" ht="12.75" customHeight="1">
      <c r="A42" s="3">
        <f t="shared" si="2"/>
        <v>4</v>
      </c>
      <c r="B42" s="19">
        <v>39704</v>
      </c>
      <c r="C42" s="20">
        <v>0.625</v>
      </c>
      <c r="D42" s="4" t="s">
        <v>49</v>
      </c>
      <c r="E42" s="18">
        <v>1</v>
      </c>
      <c r="F42" s="18">
        <v>2</v>
      </c>
      <c r="G42" s="5" t="s">
        <v>47</v>
      </c>
      <c r="H42" s="21"/>
    </row>
    <row r="43" spans="1:8" ht="12.75" customHeight="1">
      <c r="A43" s="3">
        <f>A33+1</f>
        <v>5</v>
      </c>
      <c r="B43" s="19">
        <v>39711</v>
      </c>
      <c r="C43" s="20">
        <v>0.625</v>
      </c>
      <c r="D43" s="4" t="s">
        <v>42</v>
      </c>
      <c r="E43" s="18">
        <v>1</v>
      </c>
      <c r="F43" s="18">
        <v>2</v>
      </c>
      <c r="G43" s="5" t="s">
        <v>54</v>
      </c>
      <c r="H43" s="21"/>
    </row>
    <row r="44" spans="1:8" ht="12.75" customHeight="1">
      <c r="A44" s="3">
        <f aca="true" t="shared" si="3" ref="A44:A52">A34+1</f>
        <v>5</v>
      </c>
      <c r="B44" s="19">
        <v>39711</v>
      </c>
      <c r="C44" s="20">
        <v>0.625</v>
      </c>
      <c r="D44" s="4" t="s">
        <v>52</v>
      </c>
      <c r="E44" s="18">
        <v>1</v>
      </c>
      <c r="F44" s="18">
        <v>2</v>
      </c>
      <c r="G44" s="5" t="s">
        <v>0</v>
      </c>
      <c r="H44" s="21"/>
    </row>
    <row r="45" spans="1:8" ht="12.75" customHeight="1">
      <c r="A45" s="3">
        <f t="shared" si="3"/>
        <v>5</v>
      </c>
      <c r="B45" s="19">
        <v>39711</v>
      </c>
      <c r="C45" s="20">
        <v>0.625</v>
      </c>
      <c r="D45" s="4" t="s">
        <v>53</v>
      </c>
      <c r="E45" s="18">
        <v>1</v>
      </c>
      <c r="F45" s="18">
        <v>2</v>
      </c>
      <c r="G45" s="5" t="s">
        <v>3</v>
      </c>
      <c r="H45" s="21"/>
    </row>
    <row r="46" spans="1:8" ht="12.75" customHeight="1">
      <c r="A46" s="3">
        <f t="shared" si="3"/>
        <v>5</v>
      </c>
      <c r="B46" s="19">
        <v>39711</v>
      </c>
      <c r="C46" s="20">
        <v>0.625</v>
      </c>
      <c r="D46" s="4" t="s">
        <v>49</v>
      </c>
      <c r="E46" s="18">
        <v>1</v>
      </c>
      <c r="F46" s="18">
        <v>2</v>
      </c>
      <c r="G46" s="5" t="s">
        <v>40</v>
      </c>
      <c r="H46" s="21"/>
    </row>
    <row r="47" spans="1:8" ht="12.75" customHeight="1">
      <c r="A47" s="3">
        <f t="shared" si="3"/>
        <v>5</v>
      </c>
      <c r="B47" s="19">
        <v>39711</v>
      </c>
      <c r="C47" s="20">
        <v>0.625</v>
      </c>
      <c r="D47" s="4" t="s">
        <v>43</v>
      </c>
      <c r="E47" s="18">
        <v>1</v>
      </c>
      <c r="F47" s="18">
        <v>2</v>
      </c>
      <c r="G47" s="5" t="s">
        <v>41</v>
      </c>
      <c r="H47" s="21"/>
    </row>
    <row r="48" spans="1:8" ht="12.75" customHeight="1">
      <c r="A48" s="3">
        <f t="shared" si="3"/>
        <v>5</v>
      </c>
      <c r="B48" s="19">
        <v>39711</v>
      </c>
      <c r="C48" s="20">
        <v>0.625</v>
      </c>
      <c r="D48" s="4" t="s">
        <v>44</v>
      </c>
      <c r="E48" s="18">
        <v>1</v>
      </c>
      <c r="F48" s="18">
        <v>2</v>
      </c>
      <c r="G48" s="5" t="s">
        <v>47</v>
      </c>
      <c r="H48" s="21"/>
    </row>
    <row r="49" spans="1:8" ht="12.75" customHeight="1">
      <c r="A49" s="3">
        <f t="shared" si="3"/>
        <v>5</v>
      </c>
      <c r="B49" s="19">
        <v>39711</v>
      </c>
      <c r="C49" s="20">
        <v>0.625</v>
      </c>
      <c r="D49" s="4" t="s">
        <v>45</v>
      </c>
      <c r="E49" s="18">
        <v>1</v>
      </c>
      <c r="F49" s="18">
        <v>2</v>
      </c>
      <c r="G49" s="5" t="s">
        <v>46</v>
      </c>
      <c r="H49" s="21"/>
    </row>
    <row r="50" spans="1:8" ht="12.75" customHeight="1">
      <c r="A50" s="3">
        <f t="shared" si="3"/>
        <v>5</v>
      </c>
      <c r="B50" s="19">
        <v>39711</v>
      </c>
      <c r="C50" s="20">
        <v>0.625</v>
      </c>
      <c r="D50" s="4" t="s">
        <v>51</v>
      </c>
      <c r="E50" s="18">
        <v>1</v>
      </c>
      <c r="F50" s="18">
        <v>2</v>
      </c>
      <c r="G50" s="5" t="s">
        <v>2</v>
      </c>
      <c r="H50" s="21"/>
    </row>
    <row r="51" spans="1:8" ht="12.75" customHeight="1">
      <c r="A51" s="3">
        <f t="shared" si="3"/>
        <v>5</v>
      </c>
      <c r="B51" s="19">
        <v>39711</v>
      </c>
      <c r="C51" s="20">
        <v>0.625</v>
      </c>
      <c r="D51" s="4" t="s">
        <v>39</v>
      </c>
      <c r="E51" s="18">
        <v>1</v>
      </c>
      <c r="F51" s="18">
        <v>2</v>
      </c>
      <c r="G51" s="5" t="s">
        <v>48</v>
      </c>
      <c r="H51" s="21"/>
    </row>
    <row r="52" spans="1:8" ht="12.75" customHeight="1">
      <c r="A52" s="3">
        <f t="shared" si="3"/>
        <v>5</v>
      </c>
      <c r="B52" s="19">
        <v>39711</v>
      </c>
      <c r="C52" s="20">
        <v>0.625</v>
      </c>
      <c r="D52" s="4" t="s">
        <v>1</v>
      </c>
      <c r="E52" s="18">
        <v>1</v>
      </c>
      <c r="F52" s="18">
        <v>2</v>
      </c>
      <c r="G52" s="5" t="s">
        <v>50</v>
      </c>
      <c r="H52" s="21"/>
    </row>
    <row r="53" spans="1:8" ht="12.75" customHeight="1">
      <c r="A53" s="3">
        <f>A43+1</f>
        <v>6</v>
      </c>
      <c r="B53" s="19">
        <v>39718</v>
      </c>
      <c r="C53" s="20">
        <v>0.625</v>
      </c>
      <c r="D53" s="4" t="s">
        <v>47</v>
      </c>
      <c r="E53" s="18">
        <v>1</v>
      </c>
      <c r="F53" s="18">
        <v>2</v>
      </c>
      <c r="G53" s="5" t="s">
        <v>39</v>
      </c>
      <c r="H53" s="21"/>
    </row>
    <row r="54" spans="1:8" ht="12.75" customHeight="1">
      <c r="A54" s="3">
        <f aca="true" t="shared" si="4" ref="A54:A62">A44+1</f>
        <v>6</v>
      </c>
      <c r="B54" s="19">
        <v>39718</v>
      </c>
      <c r="C54" s="20">
        <v>0.625</v>
      </c>
      <c r="D54" s="4" t="s">
        <v>40</v>
      </c>
      <c r="E54" s="18">
        <v>1</v>
      </c>
      <c r="F54" s="18">
        <v>2</v>
      </c>
      <c r="G54" s="5" t="s">
        <v>52</v>
      </c>
      <c r="H54" s="21"/>
    </row>
    <row r="55" spans="1:8" ht="12.75" customHeight="1">
      <c r="A55" s="3">
        <f t="shared" si="4"/>
        <v>6</v>
      </c>
      <c r="B55" s="19">
        <v>39718</v>
      </c>
      <c r="C55" s="20">
        <v>0.625</v>
      </c>
      <c r="D55" s="4" t="s">
        <v>50</v>
      </c>
      <c r="E55" s="18">
        <v>1</v>
      </c>
      <c r="F55" s="18">
        <v>2</v>
      </c>
      <c r="G55" s="5" t="s">
        <v>43</v>
      </c>
      <c r="H55" s="21"/>
    </row>
    <row r="56" spans="1:8" ht="12.75" customHeight="1">
      <c r="A56" s="3">
        <f t="shared" si="4"/>
        <v>6</v>
      </c>
      <c r="B56" s="19">
        <v>39718</v>
      </c>
      <c r="C56" s="20">
        <v>0.625</v>
      </c>
      <c r="D56" s="4" t="s">
        <v>41</v>
      </c>
      <c r="E56" s="18">
        <v>1</v>
      </c>
      <c r="F56" s="18">
        <v>2</v>
      </c>
      <c r="G56" s="5" t="s">
        <v>1</v>
      </c>
      <c r="H56" s="21"/>
    </row>
    <row r="57" spans="1:8" ht="12.75" customHeight="1">
      <c r="A57" s="3">
        <f t="shared" si="4"/>
        <v>6</v>
      </c>
      <c r="B57" s="19">
        <v>39718</v>
      </c>
      <c r="C57" s="20">
        <v>0.625</v>
      </c>
      <c r="D57" s="4" t="s">
        <v>0</v>
      </c>
      <c r="E57" s="18">
        <v>1</v>
      </c>
      <c r="F57" s="18">
        <v>2</v>
      </c>
      <c r="G57" s="5" t="s">
        <v>49</v>
      </c>
      <c r="H57" s="21"/>
    </row>
    <row r="58" spans="1:8" ht="12.75" customHeight="1">
      <c r="A58" s="3">
        <f t="shared" si="4"/>
        <v>6</v>
      </c>
      <c r="B58" s="19">
        <v>39718</v>
      </c>
      <c r="C58" s="20">
        <v>0.625</v>
      </c>
      <c r="D58" s="4" t="s">
        <v>48</v>
      </c>
      <c r="E58" s="18">
        <v>1</v>
      </c>
      <c r="F58" s="18">
        <v>2</v>
      </c>
      <c r="G58" s="5" t="s">
        <v>45</v>
      </c>
      <c r="H58" s="21"/>
    </row>
    <row r="59" spans="1:8" ht="12.75" customHeight="1">
      <c r="A59" s="3">
        <f t="shared" si="4"/>
        <v>6</v>
      </c>
      <c r="B59" s="19">
        <v>39718</v>
      </c>
      <c r="C59" s="20">
        <v>0.625</v>
      </c>
      <c r="D59" s="4" t="s">
        <v>54</v>
      </c>
      <c r="E59" s="18">
        <v>1</v>
      </c>
      <c r="F59" s="18">
        <v>2</v>
      </c>
      <c r="G59" s="5" t="s">
        <v>51</v>
      </c>
      <c r="H59" s="21"/>
    </row>
    <row r="60" spans="1:8" ht="12.75" customHeight="1">
      <c r="A60" s="3">
        <f t="shared" si="4"/>
        <v>6</v>
      </c>
      <c r="B60" s="19">
        <v>39718</v>
      </c>
      <c r="C60" s="20">
        <v>0.625</v>
      </c>
      <c r="D60" s="4" t="s">
        <v>46</v>
      </c>
      <c r="E60" s="18">
        <v>1</v>
      </c>
      <c r="F60" s="18">
        <v>2</v>
      </c>
      <c r="G60" s="5" t="s">
        <v>53</v>
      </c>
      <c r="H60" s="21"/>
    </row>
    <row r="61" spans="1:8" ht="12.75" customHeight="1">
      <c r="A61" s="3">
        <f t="shared" si="4"/>
        <v>6</v>
      </c>
      <c r="B61" s="19">
        <v>39718</v>
      </c>
      <c r="C61" s="20">
        <v>0.625</v>
      </c>
      <c r="D61" s="4" t="s">
        <v>2</v>
      </c>
      <c r="E61" s="18">
        <v>1</v>
      </c>
      <c r="F61" s="18">
        <v>2</v>
      </c>
      <c r="G61" s="5" t="s">
        <v>42</v>
      </c>
      <c r="H61" s="21"/>
    </row>
    <row r="62" spans="1:8" ht="12.75" customHeight="1">
      <c r="A62" s="3">
        <f t="shared" si="4"/>
        <v>6</v>
      </c>
      <c r="B62" s="19">
        <v>39718</v>
      </c>
      <c r="C62" s="20">
        <v>0.625</v>
      </c>
      <c r="D62" s="4" t="s">
        <v>3</v>
      </c>
      <c r="E62" s="18">
        <v>1</v>
      </c>
      <c r="F62" s="18">
        <v>2</v>
      </c>
      <c r="G62" s="5" t="s">
        <v>44</v>
      </c>
      <c r="H62" s="21"/>
    </row>
    <row r="63" spans="1:8" ht="12.75" customHeight="1">
      <c r="A63" s="3">
        <f>A53+1</f>
        <v>7</v>
      </c>
      <c r="B63" s="19">
        <v>39725</v>
      </c>
      <c r="C63" s="20">
        <v>0.625</v>
      </c>
      <c r="D63" s="4" t="s">
        <v>2</v>
      </c>
      <c r="E63" s="18">
        <v>2</v>
      </c>
      <c r="F63" s="18">
        <v>0</v>
      </c>
      <c r="G63" s="5" t="s">
        <v>46</v>
      </c>
      <c r="H63" s="21"/>
    </row>
    <row r="64" spans="1:8" ht="12.75" customHeight="1">
      <c r="A64" s="3">
        <f aca="true" t="shared" si="5" ref="A64:A72">A54+1</f>
        <v>7</v>
      </c>
      <c r="B64" s="19">
        <v>39725</v>
      </c>
      <c r="C64" s="20">
        <v>0.625</v>
      </c>
      <c r="D64" s="4" t="s">
        <v>53</v>
      </c>
      <c r="E64" s="18">
        <v>2</v>
      </c>
      <c r="F64" s="18">
        <v>0</v>
      </c>
      <c r="G64" s="5" t="s">
        <v>50</v>
      </c>
      <c r="H64" s="21"/>
    </row>
    <row r="65" spans="1:8" ht="12.75" customHeight="1">
      <c r="A65" s="3">
        <f t="shared" si="5"/>
        <v>7</v>
      </c>
      <c r="B65" s="19">
        <v>39725</v>
      </c>
      <c r="C65" s="20">
        <v>0.625</v>
      </c>
      <c r="D65" s="4" t="s">
        <v>1</v>
      </c>
      <c r="E65" s="18">
        <v>2</v>
      </c>
      <c r="F65" s="18">
        <v>0</v>
      </c>
      <c r="G65" s="5" t="s">
        <v>40</v>
      </c>
      <c r="H65" s="21"/>
    </row>
    <row r="66" spans="1:8" ht="12.75" customHeight="1">
      <c r="A66" s="3">
        <f t="shared" si="5"/>
        <v>7</v>
      </c>
      <c r="B66" s="19">
        <v>39725</v>
      </c>
      <c r="C66" s="20">
        <v>0.625</v>
      </c>
      <c r="D66" s="4" t="s">
        <v>49</v>
      </c>
      <c r="E66" s="18">
        <v>2</v>
      </c>
      <c r="F66" s="18">
        <v>0</v>
      </c>
      <c r="G66" s="5" t="s">
        <v>3</v>
      </c>
      <c r="H66" s="21"/>
    </row>
    <row r="67" spans="1:8" ht="12.75" customHeight="1">
      <c r="A67" s="3">
        <f t="shared" si="5"/>
        <v>7</v>
      </c>
      <c r="B67" s="19">
        <v>39725</v>
      </c>
      <c r="C67" s="20">
        <v>0.625</v>
      </c>
      <c r="D67" s="4" t="s">
        <v>51</v>
      </c>
      <c r="E67" s="18">
        <v>2</v>
      </c>
      <c r="F67" s="18">
        <v>0</v>
      </c>
      <c r="G67" s="5" t="s">
        <v>45</v>
      </c>
      <c r="H67" s="21"/>
    </row>
    <row r="68" spans="1:8" ht="12.75" customHeight="1">
      <c r="A68" s="3">
        <f t="shared" si="5"/>
        <v>7</v>
      </c>
      <c r="B68" s="19">
        <v>39725</v>
      </c>
      <c r="C68" s="20">
        <v>0.625</v>
      </c>
      <c r="D68" s="4" t="s">
        <v>42</v>
      </c>
      <c r="E68" s="18">
        <v>2</v>
      </c>
      <c r="F68" s="18">
        <v>0</v>
      </c>
      <c r="G68" s="5" t="s">
        <v>39</v>
      </c>
      <c r="H68" s="21"/>
    </row>
    <row r="69" spans="1:8" ht="12.75" customHeight="1">
      <c r="A69" s="3">
        <f t="shared" si="5"/>
        <v>7</v>
      </c>
      <c r="B69" s="19">
        <v>39725</v>
      </c>
      <c r="C69" s="20">
        <v>0.625</v>
      </c>
      <c r="D69" s="4" t="s">
        <v>48</v>
      </c>
      <c r="E69" s="18">
        <v>2</v>
      </c>
      <c r="F69" s="18">
        <v>0</v>
      </c>
      <c r="G69" s="5" t="s">
        <v>0</v>
      </c>
      <c r="H69" s="21"/>
    </row>
    <row r="70" spans="1:8" ht="12.75" customHeight="1">
      <c r="A70" s="3">
        <f t="shared" si="5"/>
        <v>7</v>
      </c>
      <c r="B70" s="19">
        <v>39725</v>
      </c>
      <c r="C70" s="20">
        <v>0.625</v>
      </c>
      <c r="D70" s="4" t="s">
        <v>54</v>
      </c>
      <c r="E70" s="18">
        <v>2</v>
      </c>
      <c r="F70" s="18">
        <v>0</v>
      </c>
      <c r="G70" s="5" t="s">
        <v>41</v>
      </c>
      <c r="H70" s="21"/>
    </row>
    <row r="71" spans="1:8" ht="12.75" customHeight="1">
      <c r="A71" s="3">
        <f t="shared" si="5"/>
        <v>7</v>
      </c>
      <c r="B71" s="19">
        <v>39725</v>
      </c>
      <c r="C71" s="20">
        <v>0.625</v>
      </c>
      <c r="D71" s="4" t="s">
        <v>43</v>
      </c>
      <c r="E71" s="18">
        <v>2</v>
      </c>
      <c r="F71" s="18">
        <v>0</v>
      </c>
      <c r="G71" s="5" t="s">
        <v>47</v>
      </c>
      <c r="H71" s="21"/>
    </row>
    <row r="72" spans="1:8" ht="12.75" customHeight="1">
      <c r="A72" s="3">
        <f t="shared" si="5"/>
        <v>7</v>
      </c>
      <c r="B72" s="19">
        <v>39725</v>
      </c>
      <c r="C72" s="20">
        <v>0.625</v>
      </c>
      <c r="D72" s="4" t="s">
        <v>52</v>
      </c>
      <c r="E72" s="18">
        <v>2</v>
      </c>
      <c r="F72" s="18">
        <v>0</v>
      </c>
      <c r="G72" s="5" t="s">
        <v>44</v>
      </c>
      <c r="H72" s="21"/>
    </row>
    <row r="73" spans="1:8" ht="12.75" customHeight="1">
      <c r="A73" s="3">
        <f>A63+1</f>
        <v>8</v>
      </c>
      <c r="B73" s="19">
        <v>39739</v>
      </c>
      <c r="C73" s="20">
        <v>0.625</v>
      </c>
      <c r="D73" s="4" t="s">
        <v>0</v>
      </c>
      <c r="E73" s="18">
        <v>2</v>
      </c>
      <c r="F73" s="18">
        <v>0</v>
      </c>
      <c r="G73" s="5" t="s">
        <v>51</v>
      </c>
      <c r="H73" s="21"/>
    </row>
    <row r="74" spans="1:8" ht="12.75" customHeight="1">
      <c r="A74" s="3">
        <f aca="true" t="shared" si="6" ref="A74:A82">A64+1</f>
        <v>8</v>
      </c>
      <c r="B74" s="19">
        <v>39739</v>
      </c>
      <c r="C74" s="20">
        <v>0.625</v>
      </c>
      <c r="D74" s="4" t="s">
        <v>47</v>
      </c>
      <c r="E74" s="18">
        <v>2</v>
      </c>
      <c r="F74" s="18">
        <v>0</v>
      </c>
      <c r="G74" s="5" t="s">
        <v>48</v>
      </c>
      <c r="H74" s="21"/>
    </row>
    <row r="75" spans="1:8" ht="12.75" customHeight="1">
      <c r="A75" s="3">
        <f t="shared" si="6"/>
        <v>8</v>
      </c>
      <c r="B75" s="19">
        <v>39739</v>
      </c>
      <c r="C75" s="20">
        <v>0.625</v>
      </c>
      <c r="D75" s="4" t="s">
        <v>45</v>
      </c>
      <c r="E75" s="18">
        <v>2</v>
      </c>
      <c r="F75" s="18">
        <v>0</v>
      </c>
      <c r="G75" s="5" t="s">
        <v>54</v>
      </c>
      <c r="H75" s="21"/>
    </row>
    <row r="76" spans="1:8" ht="12.75" customHeight="1">
      <c r="A76" s="3">
        <f t="shared" si="6"/>
        <v>8</v>
      </c>
      <c r="B76" s="19">
        <v>39739</v>
      </c>
      <c r="C76" s="20">
        <v>0.625</v>
      </c>
      <c r="D76" s="4" t="s">
        <v>46</v>
      </c>
      <c r="E76" s="18">
        <v>2</v>
      </c>
      <c r="F76" s="18">
        <v>0</v>
      </c>
      <c r="G76" s="5" t="s">
        <v>42</v>
      </c>
      <c r="H76" s="21"/>
    </row>
    <row r="77" spans="1:8" ht="12.75" customHeight="1">
      <c r="A77" s="3">
        <f t="shared" si="6"/>
        <v>8</v>
      </c>
      <c r="B77" s="19">
        <v>39739</v>
      </c>
      <c r="C77" s="20">
        <v>0.625</v>
      </c>
      <c r="D77" s="4" t="s">
        <v>3</v>
      </c>
      <c r="E77" s="18">
        <v>2</v>
      </c>
      <c r="F77" s="18">
        <v>0</v>
      </c>
      <c r="G77" s="5" t="s">
        <v>1</v>
      </c>
      <c r="H77" s="21"/>
    </row>
    <row r="78" spans="1:8" ht="12.75" customHeight="1">
      <c r="A78" s="3">
        <f t="shared" si="6"/>
        <v>8</v>
      </c>
      <c r="B78" s="19">
        <v>39739</v>
      </c>
      <c r="C78" s="20">
        <v>0.625</v>
      </c>
      <c r="D78" s="4" t="s">
        <v>44</v>
      </c>
      <c r="E78" s="18">
        <v>2</v>
      </c>
      <c r="F78" s="18">
        <v>0</v>
      </c>
      <c r="G78" s="5" t="s">
        <v>49</v>
      </c>
      <c r="H78" s="21"/>
    </row>
    <row r="79" spans="1:8" ht="12.75" customHeight="1">
      <c r="A79" s="3">
        <f t="shared" si="6"/>
        <v>8</v>
      </c>
      <c r="B79" s="19">
        <v>39739</v>
      </c>
      <c r="C79" s="20">
        <v>0.625</v>
      </c>
      <c r="D79" s="4" t="s">
        <v>40</v>
      </c>
      <c r="E79" s="18">
        <v>2</v>
      </c>
      <c r="F79" s="18">
        <v>0</v>
      </c>
      <c r="G79" s="5" t="s">
        <v>43</v>
      </c>
      <c r="H79" s="21"/>
    </row>
    <row r="80" spans="1:8" ht="12.75" customHeight="1">
      <c r="A80" s="3">
        <f t="shared" si="6"/>
        <v>8</v>
      </c>
      <c r="B80" s="19">
        <v>39739</v>
      </c>
      <c r="C80" s="20">
        <v>0.625</v>
      </c>
      <c r="D80" s="4" t="s">
        <v>41</v>
      </c>
      <c r="E80" s="18">
        <v>2</v>
      </c>
      <c r="F80" s="18">
        <v>0</v>
      </c>
      <c r="G80" s="5" t="s">
        <v>53</v>
      </c>
      <c r="H80" s="21"/>
    </row>
    <row r="81" spans="1:8" ht="12.75" customHeight="1">
      <c r="A81" s="3">
        <f t="shared" si="6"/>
        <v>8</v>
      </c>
      <c r="B81" s="19">
        <v>39739</v>
      </c>
      <c r="C81" s="20">
        <v>0.625</v>
      </c>
      <c r="D81" s="4" t="s">
        <v>39</v>
      </c>
      <c r="E81" s="18">
        <v>2</v>
      </c>
      <c r="F81" s="18">
        <v>0</v>
      </c>
      <c r="G81" s="5" t="s">
        <v>52</v>
      </c>
      <c r="H81" s="21"/>
    </row>
    <row r="82" spans="1:8" ht="12.75" customHeight="1">
      <c r="A82" s="3">
        <f t="shared" si="6"/>
        <v>8</v>
      </c>
      <c r="B82" s="19">
        <v>39739</v>
      </c>
      <c r="C82" s="20">
        <v>0.625</v>
      </c>
      <c r="D82" s="4" t="s">
        <v>50</v>
      </c>
      <c r="E82" s="18">
        <v>2</v>
      </c>
      <c r="F82" s="18">
        <v>0</v>
      </c>
      <c r="G82" s="5" t="s">
        <v>2</v>
      </c>
      <c r="H82" s="21"/>
    </row>
    <row r="83" spans="1:8" ht="12.75" customHeight="1">
      <c r="A83" s="3">
        <f>A73+1</f>
        <v>9</v>
      </c>
      <c r="B83" s="19">
        <v>39746</v>
      </c>
      <c r="C83" s="20">
        <v>0.625</v>
      </c>
      <c r="D83" s="4" t="s">
        <v>1</v>
      </c>
      <c r="E83" s="18">
        <v>2</v>
      </c>
      <c r="F83" s="18">
        <v>0</v>
      </c>
      <c r="G83" s="5" t="s">
        <v>39</v>
      </c>
      <c r="H83" s="21"/>
    </row>
    <row r="84" spans="1:8" ht="12.75" customHeight="1">
      <c r="A84" s="3">
        <f aca="true" t="shared" si="7" ref="A84:A92">A74+1</f>
        <v>9</v>
      </c>
      <c r="B84" s="19">
        <v>39746</v>
      </c>
      <c r="C84" s="20">
        <v>0.625</v>
      </c>
      <c r="D84" s="4" t="s">
        <v>49</v>
      </c>
      <c r="E84" s="18">
        <v>2</v>
      </c>
      <c r="F84" s="18">
        <v>0</v>
      </c>
      <c r="G84" s="5" t="s">
        <v>41</v>
      </c>
      <c r="H84" s="21"/>
    </row>
    <row r="85" spans="1:8" ht="12.75" customHeight="1">
      <c r="A85" s="3">
        <f t="shared" si="7"/>
        <v>9</v>
      </c>
      <c r="B85" s="19">
        <v>39746</v>
      </c>
      <c r="C85" s="20">
        <v>0.625</v>
      </c>
      <c r="D85" s="4" t="s">
        <v>2</v>
      </c>
      <c r="E85" s="18">
        <v>2</v>
      </c>
      <c r="F85" s="18">
        <v>0</v>
      </c>
      <c r="G85" s="5" t="s">
        <v>40</v>
      </c>
      <c r="H85" s="21"/>
    </row>
    <row r="86" spans="1:8" ht="12.75" customHeight="1">
      <c r="A86" s="3">
        <f t="shared" si="7"/>
        <v>9</v>
      </c>
      <c r="B86" s="19">
        <v>39746</v>
      </c>
      <c r="C86" s="20">
        <v>0.625</v>
      </c>
      <c r="D86" s="4" t="s">
        <v>53</v>
      </c>
      <c r="E86" s="18">
        <v>2</v>
      </c>
      <c r="F86" s="18">
        <v>0</v>
      </c>
      <c r="G86" s="5" t="s">
        <v>45</v>
      </c>
      <c r="H86" s="21"/>
    </row>
    <row r="87" spans="1:8" ht="12.75" customHeight="1">
      <c r="A87" s="3">
        <f t="shared" si="7"/>
        <v>9</v>
      </c>
      <c r="B87" s="19">
        <v>39746</v>
      </c>
      <c r="C87" s="20">
        <v>0.625</v>
      </c>
      <c r="D87" s="4" t="s">
        <v>43</v>
      </c>
      <c r="E87" s="18">
        <v>2</v>
      </c>
      <c r="F87" s="18">
        <v>0</v>
      </c>
      <c r="G87" s="5" t="s">
        <v>0</v>
      </c>
      <c r="H87" s="21"/>
    </row>
    <row r="88" spans="1:8" ht="12.75" customHeight="1">
      <c r="A88" s="3">
        <f t="shared" si="7"/>
        <v>9</v>
      </c>
      <c r="B88" s="19">
        <v>39746</v>
      </c>
      <c r="C88" s="20">
        <v>0.625</v>
      </c>
      <c r="D88" s="4" t="s">
        <v>42</v>
      </c>
      <c r="E88" s="18">
        <v>2</v>
      </c>
      <c r="F88" s="18">
        <v>0</v>
      </c>
      <c r="G88" s="5" t="s">
        <v>44</v>
      </c>
      <c r="H88" s="21"/>
    </row>
    <row r="89" spans="1:8" ht="12.75" customHeight="1">
      <c r="A89" s="3">
        <f t="shared" si="7"/>
        <v>9</v>
      </c>
      <c r="B89" s="19">
        <v>39746</v>
      </c>
      <c r="C89" s="20">
        <v>0.625</v>
      </c>
      <c r="D89" s="4" t="s">
        <v>48</v>
      </c>
      <c r="E89" s="18">
        <v>2</v>
      </c>
      <c r="F89" s="18">
        <v>0</v>
      </c>
      <c r="G89" s="5" t="s">
        <v>3</v>
      </c>
      <c r="H89" s="21"/>
    </row>
    <row r="90" spans="1:8" ht="12.75" customHeight="1">
      <c r="A90" s="3">
        <f t="shared" si="7"/>
        <v>9</v>
      </c>
      <c r="B90" s="19">
        <v>39746</v>
      </c>
      <c r="C90" s="20">
        <v>0.625</v>
      </c>
      <c r="D90" s="4" t="s">
        <v>52</v>
      </c>
      <c r="E90" s="18">
        <v>2</v>
      </c>
      <c r="F90" s="18">
        <v>0</v>
      </c>
      <c r="G90" s="5" t="s">
        <v>47</v>
      </c>
      <c r="H90" s="21"/>
    </row>
    <row r="91" spans="1:8" ht="12.75" customHeight="1">
      <c r="A91" s="3">
        <f t="shared" si="7"/>
        <v>9</v>
      </c>
      <c r="B91" s="19">
        <v>39746</v>
      </c>
      <c r="C91" s="20">
        <v>0.625</v>
      </c>
      <c r="D91" s="4" t="s">
        <v>51</v>
      </c>
      <c r="E91" s="18">
        <v>2</v>
      </c>
      <c r="F91" s="18">
        <v>0</v>
      </c>
      <c r="G91" s="5" t="s">
        <v>46</v>
      </c>
      <c r="H91" s="21"/>
    </row>
    <row r="92" spans="1:8" ht="12.75" customHeight="1">
      <c r="A92" s="3">
        <f t="shared" si="7"/>
        <v>9</v>
      </c>
      <c r="B92" s="19">
        <v>39746</v>
      </c>
      <c r="C92" s="20">
        <v>0.625</v>
      </c>
      <c r="D92" s="4" t="s">
        <v>54</v>
      </c>
      <c r="E92" s="18">
        <v>2</v>
      </c>
      <c r="F92" s="18">
        <v>0</v>
      </c>
      <c r="G92" s="5" t="s">
        <v>50</v>
      </c>
      <c r="H92" s="21"/>
    </row>
    <row r="93" spans="1:8" ht="12.75" customHeight="1">
      <c r="A93" s="3">
        <f>A83+1</f>
        <v>10</v>
      </c>
      <c r="B93" s="19">
        <v>39749</v>
      </c>
      <c r="C93" s="20">
        <v>0.8229166666666666</v>
      </c>
      <c r="D93" s="4" t="s">
        <v>41</v>
      </c>
      <c r="E93" s="18">
        <v>2</v>
      </c>
      <c r="F93" s="18">
        <v>0</v>
      </c>
      <c r="G93" s="5" t="s">
        <v>51</v>
      </c>
      <c r="H93" s="21"/>
    </row>
    <row r="94" spans="1:8" ht="12.75" customHeight="1">
      <c r="A94" s="3">
        <f aca="true" t="shared" si="8" ref="A94:A102">A84+1</f>
        <v>10</v>
      </c>
      <c r="B94" s="19">
        <v>39749</v>
      </c>
      <c r="C94" s="20">
        <v>0.8229166666666666</v>
      </c>
      <c r="D94" s="4" t="s">
        <v>47</v>
      </c>
      <c r="E94" s="18">
        <v>2</v>
      </c>
      <c r="F94" s="18">
        <v>0</v>
      </c>
      <c r="G94" s="5" t="s">
        <v>42</v>
      </c>
      <c r="H94" s="21"/>
    </row>
    <row r="95" spans="1:8" ht="12.75" customHeight="1">
      <c r="A95" s="3">
        <f t="shared" si="8"/>
        <v>10</v>
      </c>
      <c r="B95" s="19">
        <v>39749</v>
      </c>
      <c r="C95" s="20">
        <v>0.8229166666666666</v>
      </c>
      <c r="D95" s="4" t="s">
        <v>39</v>
      </c>
      <c r="E95" s="18">
        <v>2</v>
      </c>
      <c r="F95" s="18">
        <v>0</v>
      </c>
      <c r="G95" s="5" t="s">
        <v>53</v>
      </c>
      <c r="H95" s="21"/>
    </row>
    <row r="96" spans="1:8" ht="12.75" customHeight="1">
      <c r="A96" s="3">
        <f t="shared" si="8"/>
        <v>10</v>
      </c>
      <c r="B96" s="19">
        <v>39749</v>
      </c>
      <c r="C96" s="20">
        <v>0.8229166666666666</v>
      </c>
      <c r="D96" s="4" t="s">
        <v>46</v>
      </c>
      <c r="E96" s="18">
        <v>2</v>
      </c>
      <c r="F96" s="18">
        <v>0</v>
      </c>
      <c r="G96" s="5" t="s">
        <v>43</v>
      </c>
      <c r="H96" s="21"/>
    </row>
    <row r="97" spans="1:8" ht="12.75" customHeight="1">
      <c r="A97" s="3">
        <f t="shared" si="8"/>
        <v>10</v>
      </c>
      <c r="B97" s="19">
        <v>39749</v>
      </c>
      <c r="C97" s="20">
        <v>0.8229166666666666</v>
      </c>
      <c r="D97" s="4" t="s">
        <v>44</v>
      </c>
      <c r="E97" s="18">
        <v>2</v>
      </c>
      <c r="F97" s="18">
        <v>0</v>
      </c>
      <c r="G97" s="5" t="s">
        <v>48</v>
      </c>
      <c r="H97" s="21"/>
    </row>
    <row r="98" spans="1:8" ht="12.75" customHeight="1">
      <c r="A98" s="3">
        <f t="shared" si="8"/>
        <v>10</v>
      </c>
      <c r="B98" s="19">
        <v>39749</v>
      </c>
      <c r="C98" s="20">
        <v>0.8229166666666666</v>
      </c>
      <c r="D98" s="4" t="s">
        <v>3</v>
      </c>
      <c r="E98" s="18">
        <v>2</v>
      </c>
      <c r="F98" s="18">
        <v>0</v>
      </c>
      <c r="G98" s="5" t="s">
        <v>52</v>
      </c>
      <c r="H98" s="21"/>
    </row>
    <row r="99" spans="1:8" ht="12.75" customHeight="1">
      <c r="A99" s="3">
        <f t="shared" si="8"/>
        <v>10</v>
      </c>
      <c r="B99" s="19">
        <v>39750</v>
      </c>
      <c r="C99" s="20">
        <v>0.8229166666666666</v>
      </c>
      <c r="D99" s="4" t="s">
        <v>0</v>
      </c>
      <c r="E99" s="18">
        <v>2</v>
      </c>
      <c r="F99" s="18">
        <v>0</v>
      </c>
      <c r="G99" s="5" t="s">
        <v>1</v>
      </c>
      <c r="H99" s="21"/>
    </row>
    <row r="100" spans="1:8" ht="12.75" customHeight="1">
      <c r="A100" s="3">
        <f t="shared" si="8"/>
        <v>10</v>
      </c>
      <c r="B100" s="19">
        <v>39750</v>
      </c>
      <c r="C100" s="20">
        <v>0.8229166666666666</v>
      </c>
      <c r="D100" s="4" t="s">
        <v>50</v>
      </c>
      <c r="E100" s="18">
        <v>2</v>
      </c>
      <c r="F100" s="18">
        <v>0</v>
      </c>
      <c r="G100" s="5" t="s">
        <v>49</v>
      </c>
      <c r="H100" s="21"/>
    </row>
    <row r="101" spans="1:8" ht="12.75" customHeight="1">
      <c r="A101" s="3">
        <f t="shared" si="8"/>
        <v>10</v>
      </c>
      <c r="B101" s="19">
        <v>39750</v>
      </c>
      <c r="C101" s="20">
        <v>0.8229166666666666</v>
      </c>
      <c r="D101" s="4" t="s">
        <v>40</v>
      </c>
      <c r="E101" s="18">
        <v>2</v>
      </c>
      <c r="F101" s="18">
        <v>0</v>
      </c>
      <c r="G101" s="5" t="s">
        <v>54</v>
      </c>
      <c r="H101" s="21"/>
    </row>
    <row r="102" spans="1:8" ht="12.75" customHeight="1">
      <c r="A102" s="3">
        <f t="shared" si="8"/>
        <v>10</v>
      </c>
      <c r="B102" s="19">
        <v>39750</v>
      </c>
      <c r="C102" s="20">
        <v>0.8229166666666666</v>
      </c>
      <c r="D102" s="4" t="s">
        <v>45</v>
      </c>
      <c r="E102" s="18">
        <v>2</v>
      </c>
      <c r="F102" s="18">
        <v>0</v>
      </c>
      <c r="G102" s="5" t="s">
        <v>2</v>
      </c>
      <c r="H102" s="21"/>
    </row>
    <row r="103" spans="1:8" ht="12.75" customHeight="1">
      <c r="A103" s="3">
        <f>A93+1</f>
        <v>11</v>
      </c>
      <c r="B103" s="19">
        <v>39753</v>
      </c>
      <c r="C103" s="20">
        <v>0.625</v>
      </c>
      <c r="D103" s="4" t="s">
        <v>53</v>
      </c>
      <c r="E103" s="18">
        <v>2</v>
      </c>
      <c r="F103" s="18">
        <v>0</v>
      </c>
      <c r="G103" s="5" t="s">
        <v>43</v>
      </c>
      <c r="H103" s="21"/>
    </row>
    <row r="104" spans="1:8" ht="12.75" customHeight="1">
      <c r="A104" s="3">
        <f aca="true" t="shared" si="9" ref="A104:A112">A94+1</f>
        <v>11</v>
      </c>
      <c r="B104" s="19">
        <v>39753</v>
      </c>
      <c r="C104" s="20">
        <v>0.625</v>
      </c>
      <c r="D104" s="4" t="s">
        <v>1</v>
      </c>
      <c r="E104" s="18">
        <v>2</v>
      </c>
      <c r="F104" s="18">
        <v>0</v>
      </c>
      <c r="G104" s="5" t="s">
        <v>49</v>
      </c>
      <c r="H104" s="21"/>
    </row>
    <row r="105" spans="1:8" ht="12.75" customHeight="1">
      <c r="A105" s="3">
        <f t="shared" si="9"/>
        <v>11</v>
      </c>
      <c r="B105" s="19">
        <v>39753</v>
      </c>
      <c r="C105" s="20">
        <v>0.625</v>
      </c>
      <c r="D105" s="4" t="s">
        <v>41</v>
      </c>
      <c r="E105" s="18">
        <v>2</v>
      </c>
      <c r="F105" s="18">
        <v>0</v>
      </c>
      <c r="G105" s="5" t="s">
        <v>52</v>
      </c>
      <c r="H105" s="21"/>
    </row>
    <row r="106" spans="1:8" ht="12.75" customHeight="1">
      <c r="A106" s="3">
        <f t="shared" si="9"/>
        <v>11</v>
      </c>
      <c r="B106" s="19">
        <v>39753</v>
      </c>
      <c r="C106" s="20">
        <v>0.625</v>
      </c>
      <c r="D106" s="4" t="s">
        <v>2</v>
      </c>
      <c r="E106" s="18">
        <v>2</v>
      </c>
      <c r="F106" s="18">
        <v>0</v>
      </c>
      <c r="G106" s="5" t="s">
        <v>54</v>
      </c>
      <c r="H106" s="21"/>
    </row>
    <row r="107" spans="1:8" ht="12.75" customHeight="1">
      <c r="A107" s="3">
        <f t="shared" si="9"/>
        <v>11</v>
      </c>
      <c r="B107" s="19">
        <v>39753</v>
      </c>
      <c r="C107" s="20">
        <v>0.625</v>
      </c>
      <c r="D107" s="4" t="s">
        <v>44</v>
      </c>
      <c r="E107" s="18">
        <v>2</v>
      </c>
      <c r="F107" s="18">
        <v>0</v>
      </c>
      <c r="G107" s="5" t="s">
        <v>51</v>
      </c>
      <c r="H107" s="21"/>
    </row>
    <row r="108" spans="1:8" ht="12.75" customHeight="1">
      <c r="A108" s="3">
        <f t="shared" si="9"/>
        <v>11</v>
      </c>
      <c r="B108" s="19">
        <v>39753</v>
      </c>
      <c r="C108" s="20">
        <v>0.625</v>
      </c>
      <c r="D108" s="4" t="s">
        <v>0</v>
      </c>
      <c r="E108" s="18">
        <v>2</v>
      </c>
      <c r="F108" s="18">
        <v>0</v>
      </c>
      <c r="G108" s="5" t="s">
        <v>50</v>
      </c>
      <c r="H108" s="21"/>
    </row>
    <row r="109" spans="1:8" ht="12.75" customHeight="1">
      <c r="A109" s="3">
        <f t="shared" si="9"/>
        <v>11</v>
      </c>
      <c r="B109" s="19">
        <v>39753</v>
      </c>
      <c r="C109" s="20">
        <v>0.625</v>
      </c>
      <c r="D109" s="4" t="s">
        <v>3</v>
      </c>
      <c r="E109" s="18">
        <v>2</v>
      </c>
      <c r="F109" s="18">
        <v>0</v>
      </c>
      <c r="G109" s="5" t="s">
        <v>39</v>
      </c>
      <c r="H109" s="21"/>
    </row>
    <row r="110" spans="1:8" ht="12.75" customHeight="1">
      <c r="A110" s="3">
        <f t="shared" si="9"/>
        <v>11</v>
      </c>
      <c r="B110" s="19">
        <v>39753</v>
      </c>
      <c r="C110" s="20">
        <v>0.625</v>
      </c>
      <c r="D110" s="4" t="s">
        <v>42</v>
      </c>
      <c r="E110" s="18">
        <v>2</v>
      </c>
      <c r="F110" s="18">
        <v>0</v>
      </c>
      <c r="G110" s="5" t="s">
        <v>45</v>
      </c>
      <c r="H110" s="21"/>
    </row>
    <row r="111" spans="1:8" ht="12.75" customHeight="1">
      <c r="A111" s="3">
        <f t="shared" si="9"/>
        <v>11</v>
      </c>
      <c r="B111" s="19">
        <v>39753</v>
      </c>
      <c r="C111" s="20">
        <v>0.625</v>
      </c>
      <c r="D111" s="4" t="s">
        <v>46</v>
      </c>
      <c r="E111" s="18">
        <v>2</v>
      </c>
      <c r="F111" s="18">
        <v>0</v>
      </c>
      <c r="G111" s="5" t="s">
        <v>47</v>
      </c>
      <c r="H111" s="21"/>
    </row>
    <row r="112" spans="1:8" ht="12.75" customHeight="1">
      <c r="A112" s="3">
        <f t="shared" si="9"/>
        <v>11</v>
      </c>
      <c r="B112" s="19">
        <v>39753</v>
      </c>
      <c r="C112" s="20">
        <v>0.625</v>
      </c>
      <c r="D112" s="4" t="s">
        <v>48</v>
      </c>
      <c r="E112" s="18"/>
      <c r="F112" s="18"/>
      <c r="G112" s="5" t="s">
        <v>40</v>
      </c>
      <c r="H112" s="21"/>
    </row>
    <row r="113" spans="1:8" ht="12.75" customHeight="1">
      <c r="A113" s="3">
        <f>A103+1</f>
        <v>12</v>
      </c>
      <c r="B113" s="19">
        <v>39760</v>
      </c>
      <c r="C113" s="20">
        <v>0.625</v>
      </c>
      <c r="D113" s="4" t="s">
        <v>43</v>
      </c>
      <c r="E113" s="18"/>
      <c r="F113" s="18"/>
      <c r="G113" s="5" t="s">
        <v>2</v>
      </c>
      <c r="H113" s="21"/>
    </row>
    <row r="114" spans="1:8" ht="12.75" customHeight="1">
      <c r="A114" s="3">
        <f aca="true" t="shared" si="10" ref="A114:A122">A104+1</f>
        <v>12</v>
      </c>
      <c r="B114" s="19">
        <v>39760</v>
      </c>
      <c r="C114" s="20">
        <v>0.625</v>
      </c>
      <c r="D114" s="4" t="s">
        <v>50</v>
      </c>
      <c r="E114" s="18"/>
      <c r="F114" s="18"/>
      <c r="G114" s="5" t="s">
        <v>41</v>
      </c>
      <c r="H114" s="21"/>
    </row>
    <row r="115" spans="1:8" ht="12.75" customHeight="1">
      <c r="A115" s="3">
        <f t="shared" si="10"/>
        <v>12</v>
      </c>
      <c r="B115" s="19">
        <v>39760</v>
      </c>
      <c r="C115" s="20">
        <v>0.625</v>
      </c>
      <c r="D115" s="4" t="s">
        <v>52</v>
      </c>
      <c r="E115" s="18"/>
      <c r="F115" s="18"/>
      <c r="G115" s="5" t="s">
        <v>48</v>
      </c>
      <c r="H115" s="21"/>
    </row>
    <row r="116" spans="1:8" ht="12.75" customHeight="1">
      <c r="A116" s="3">
        <f t="shared" si="10"/>
        <v>12</v>
      </c>
      <c r="B116" s="19">
        <v>39760</v>
      </c>
      <c r="C116" s="20">
        <v>0.625</v>
      </c>
      <c r="D116" s="4" t="s">
        <v>45</v>
      </c>
      <c r="E116" s="18"/>
      <c r="F116" s="18"/>
      <c r="G116" s="5" t="s">
        <v>1</v>
      </c>
      <c r="H116" s="21"/>
    </row>
    <row r="117" spans="1:8" ht="12.75" customHeight="1">
      <c r="A117" s="3">
        <f t="shared" si="10"/>
        <v>12</v>
      </c>
      <c r="B117" s="19">
        <v>39760</v>
      </c>
      <c r="C117" s="20">
        <v>0.625</v>
      </c>
      <c r="D117" s="4" t="s">
        <v>47</v>
      </c>
      <c r="E117" s="18"/>
      <c r="F117" s="18"/>
      <c r="G117" s="5" t="s">
        <v>3</v>
      </c>
      <c r="H117" s="21"/>
    </row>
    <row r="118" spans="1:8" ht="12.75" customHeight="1">
      <c r="A118" s="3">
        <f t="shared" si="10"/>
        <v>12</v>
      </c>
      <c r="B118" s="19">
        <v>39760</v>
      </c>
      <c r="C118" s="20">
        <v>0.625</v>
      </c>
      <c r="D118" s="4" t="s">
        <v>51</v>
      </c>
      <c r="E118" s="18"/>
      <c r="F118" s="18"/>
      <c r="G118" s="5" t="s">
        <v>42</v>
      </c>
      <c r="H118" s="21"/>
    </row>
    <row r="119" spans="1:8" ht="12.75" customHeight="1">
      <c r="A119" s="3">
        <f t="shared" si="10"/>
        <v>12</v>
      </c>
      <c r="B119" s="19">
        <v>39760</v>
      </c>
      <c r="C119" s="20">
        <v>0.625</v>
      </c>
      <c r="D119" s="4" t="s">
        <v>54</v>
      </c>
      <c r="E119" s="18"/>
      <c r="F119" s="18"/>
      <c r="G119" s="5" t="s">
        <v>46</v>
      </c>
      <c r="H119" s="21"/>
    </row>
    <row r="120" spans="1:8" ht="12.75" customHeight="1">
      <c r="A120" s="3">
        <f t="shared" si="10"/>
        <v>12</v>
      </c>
      <c r="B120" s="19">
        <v>39760</v>
      </c>
      <c r="C120" s="20">
        <v>0.625</v>
      </c>
      <c r="D120" s="4" t="s">
        <v>40</v>
      </c>
      <c r="E120" s="18"/>
      <c r="F120" s="18"/>
      <c r="G120" s="5" t="s">
        <v>0</v>
      </c>
      <c r="H120" s="21"/>
    </row>
    <row r="121" spans="1:8" ht="12.75" customHeight="1">
      <c r="A121" s="3">
        <f t="shared" si="10"/>
        <v>12</v>
      </c>
      <c r="B121" s="19">
        <v>39760</v>
      </c>
      <c r="C121" s="20">
        <v>0.625</v>
      </c>
      <c r="D121" s="4" t="s">
        <v>39</v>
      </c>
      <c r="E121" s="18"/>
      <c r="F121" s="18"/>
      <c r="G121" s="5" t="s">
        <v>44</v>
      </c>
      <c r="H121" s="21"/>
    </row>
    <row r="122" spans="1:8" ht="12.75" customHeight="1">
      <c r="A122" s="3">
        <f t="shared" si="10"/>
        <v>12</v>
      </c>
      <c r="B122" s="19">
        <v>39760</v>
      </c>
      <c r="C122" s="20">
        <v>0.625</v>
      </c>
      <c r="D122" s="4" t="s">
        <v>49</v>
      </c>
      <c r="E122" s="18"/>
      <c r="F122" s="18"/>
      <c r="G122" s="5" t="s">
        <v>53</v>
      </c>
      <c r="H122" s="21"/>
    </row>
    <row r="123" spans="1:8" ht="12.75" customHeight="1">
      <c r="A123" s="3">
        <f>A113+1</f>
        <v>13</v>
      </c>
      <c r="B123" s="19">
        <v>39767</v>
      </c>
      <c r="C123" s="20">
        <v>0.625</v>
      </c>
      <c r="D123" s="4" t="s">
        <v>49</v>
      </c>
      <c r="E123" s="18"/>
      <c r="F123" s="18"/>
      <c r="G123" s="5" t="s">
        <v>43</v>
      </c>
      <c r="H123" s="21"/>
    </row>
    <row r="124" spans="1:8" ht="12.75" customHeight="1">
      <c r="A124" s="3">
        <f aca="true" t="shared" si="11" ref="A124:A132">A114+1</f>
        <v>13</v>
      </c>
      <c r="B124" s="19">
        <v>39767</v>
      </c>
      <c r="C124" s="20">
        <v>0.625</v>
      </c>
      <c r="D124" s="4" t="s">
        <v>39</v>
      </c>
      <c r="E124" s="18"/>
      <c r="F124" s="18"/>
      <c r="G124" s="5" t="s">
        <v>51</v>
      </c>
      <c r="H124" s="21"/>
    </row>
    <row r="125" spans="1:8" ht="12.75" customHeight="1">
      <c r="A125" s="3">
        <f t="shared" si="11"/>
        <v>13</v>
      </c>
      <c r="B125" s="19">
        <v>39767</v>
      </c>
      <c r="C125" s="20">
        <v>0.625</v>
      </c>
      <c r="D125" s="4" t="s">
        <v>44</v>
      </c>
      <c r="E125" s="18"/>
      <c r="F125" s="18"/>
      <c r="G125" s="5" t="s">
        <v>45</v>
      </c>
      <c r="H125" s="21"/>
    </row>
    <row r="126" spans="1:8" ht="12.75" customHeight="1">
      <c r="A126" s="3">
        <f t="shared" si="11"/>
        <v>13</v>
      </c>
      <c r="B126" s="19">
        <v>39767</v>
      </c>
      <c r="C126" s="20">
        <v>0.625</v>
      </c>
      <c r="D126" s="4" t="s">
        <v>48</v>
      </c>
      <c r="E126" s="18"/>
      <c r="F126" s="18"/>
      <c r="G126" s="5" t="s">
        <v>41</v>
      </c>
      <c r="H126" s="21"/>
    </row>
    <row r="127" spans="1:8" ht="12.75" customHeight="1">
      <c r="A127" s="3">
        <f t="shared" si="11"/>
        <v>13</v>
      </c>
      <c r="B127" s="19">
        <v>39767</v>
      </c>
      <c r="C127" s="20">
        <v>0.625</v>
      </c>
      <c r="D127" s="4" t="s">
        <v>52</v>
      </c>
      <c r="E127" s="18"/>
      <c r="F127" s="18"/>
      <c r="G127" s="5" t="s">
        <v>2</v>
      </c>
      <c r="H127" s="21"/>
    </row>
    <row r="128" spans="1:8" ht="12.75" customHeight="1">
      <c r="A128" s="3">
        <f t="shared" si="11"/>
        <v>13</v>
      </c>
      <c r="B128" s="19">
        <v>39767</v>
      </c>
      <c r="C128" s="20">
        <v>0.625</v>
      </c>
      <c r="D128" s="4" t="s">
        <v>40</v>
      </c>
      <c r="E128" s="18"/>
      <c r="F128" s="18"/>
      <c r="G128" s="5" t="s">
        <v>42</v>
      </c>
      <c r="H128" s="21"/>
    </row>
    <row r="129" spans="1:8" ht="12.75" customHeight="1">
      <c r="A129" s="3">
        <f t="shared" si="11"/>
        <v>13</v>
      </c>
      <c r="B129" s="19">
        <v>39767</v>
      </c>
      <c r="C129" s="20">
        <v>0.625</v>
      </c>
      <c r="D129" s="4" t="s">
        <v>47</v>
      </c>
      <c r="E129" s="18"/>
      <c r="F129" s="18"/>
      <c r="G129" s="5" t="s">
        <v>50</v>
      </c>
      <c r="H129" s="21"/>
    </row>
    <row r="130" spans="1:8" ht="12.75" customHeight="1">
      <c r="A130" s="3">
        <f t="shared" si="11"/>
        <v>13</v>
      </c>
      <c r="B130" s="19">
        <v>39767</v>
      </c>
      <c r="C130" s="20">
        <v>0.625</v>
      </c>
      <c r="D130" s="4" t="s">
        <v>1</v>
      </c>
      <c r="E130" s="18"/>
      <c r="F130" s="18"/>
      <c r="G130" s="5" t="s">
        <v>53</v>
      </c>
      <c r="H130" s="21"/>
    </row>
    <row r="131" spans="1:8" ht="12.75" customHeight="1">
      <c r="A131" s="3">
        <f t="shared" si="11"/>
        <v>13</v>
      </c>
      <c r="B131" s="19">
        <v>39767</v>
      </c>
      <c r="C131" s="20">
        <v>0.625</v>
      </c>
      <c r="D131" s="4" t="s">
        <v>3</v>
      </c>
      <c r="E131" s="18"/>
      <c r="F131" s="18"/>
      <c r="G131" s="5" t="s">
        <v>46</v>
      </c>
      <c r="H131" s="21"/>
    </row>
    <row r="132" spans="1:8" ht="12.75" customHeight="1">
      <c r="A132" s="3">
        <f t="shared" si="11"/>
        <v>13</v>
      </c>
      <c r="B132" s="19">
        <v>39767</v>
      </c>
      <c r="C132" s="20">
        <v>0.625</v>
      </c>
      <c r="D132" s="4" t="s">
        <v>0</v>
      </c>
      <c r="E132" s="18"/>
      <c r="F132" s="18"/>
      <c r="G132" s="5" t="s">
        <v>54</v>
      </c>
      <c r="H132" s="21"/>
    </row>
    <row r="133" spans="1:8" ht="12.75" customHeight="1">
      <c r="A133" s="3">
        <f>A123+1</f>
        <v>14</v>
      </c>
      <c r="B133" s="19">
        <v>39774</v>
      </c>
      <c r="C133" s="20">
        <v>0.625</v>
      </c>
      <c r="D133" s="4" t="s">
        <v>46</v>
      </c>
      <c r="E133" s="18"/>
      <c r="F133" s="18"/>
      <c r="G133" s="5" t="s">
        <v>1</v>
      </c>
      <c r="H133" s="21"/>
    </row>
    <row r="134" spans="1:8" ht="12.75" customHeight="1">
      <c r="A134" s="3">
        <f aca="true" t="shared" si="12" ref="A134:A142">A124+1</f>
        <v>14</v>
      </c>
      <c r="B134" s="19">
        <v>39774</v>
      </c>
      <c r="C134" s="20">
        <v>0.625</v>
      </c>
      <c r="D134" s="4" t="s">
        <v>43</v>
      </c>
      <c r="E134" s="18"/>
      <c r="F134" s="18"/>
      <c r="G134" s="5" t="s">
        <v>52</v>
      </c>
      <c r="H134" s="21"/>
    </row>
    <row r="135" spans="1:8" ht="12.75" customHeight="1">
      <c r="A135" s="3">
        <f t="shared" si="12"/>
        <v>14</v>
      </c>
      <c r="B135" s="19">
        <v>39774</v>
      </c>
      <c r="C135" s="20">
        <v>0.625</v>
      </c>
      <c r="D135" s="4" t="s">
        <v>53</v>
      </c>
      <c r="E135" s="18"/>
      <c r="F135" s="18"/>
      <c r="G135" s="5" t="s">
        <v>0</v>
      </c>
      <c r="H135" s="21"/>
    </row>
    <row r="136" spans="1:8" ht="12.75" customHeight="1">
      <c r="A136" s="3">
        <f t="shared" si="12"/>
        <v>14</v>
      </c>
      <c r="B136" s="19">
        <v>39774</v>
      </c>
      <c r="C136" s="20">
        <v>0.625</v>
      </c>
      <c r="D136" s="4" t="s">
        <v>41</v>
      </c>
      <c r="E136" s="18"/>
      <c r="F136" s="18"/>
      <c r="G136" s="5" t="s">
        <v>44</v>
      </c>
      <c r="H136" s="21"/>
    </row>
    <row r="137" spans="1:8" ht="12.75" customHeight="1">
      <c r="A137" s="3">
        <f t="shared" si="12"/>
        <v>14</v>
      </c>
      <c r="B137" s="19">
        <v>39774</v>
      </c>
      <c r="C137" s="20">
        <v>0.625</v>
      </c>
      <c r="D137" s="4" t="s">
        <v>45</v>
      </c>
      <c r="E137" s="18"/>
      <c r="F137" s="18"/>
      <c r="G137" s="5" t="s">
        <v>40</v>
      </c>
      <c r="H137" s="21"/>
    </row>
    <row r="138" spans="1:8" ht="12.75" customHeight="1">
      <c r="A138" s="3">
        <f t="shared" si="12"/>
        <v>14</v>
      </c>
      <c r="B138" s="19">
        <v>39774</v>
      </c>
      <c r="C138" s="20">
        <v>0.625</v>
      </c>
      <c r="D138" s="4" t="s">
        <v>50</v>
      </c>
      <c r="E138" s="18"/>
      <c r="F138" s="18"/>
      <c r="G138" s="5" t="s">
        <v>3</v>
      </c>
      <c r="H138" s="21"/>
    </row>
    <row r="139" spans="1:8" ht="12.75" customHeight="1">
      <c r="A139" s="3">
        <f t="shared" si="12"/>
        <v>14</v>
      </c>
      <c r="B139" s="19">
        <v>39774</v>
      </c>
      <c r="C139" s="20">
        <v>0.625</v>
      </c>
      <c r="D139" s="4" t="s">
        <v>2</v>
      </c>
      <c r="E139" s="18"/>
      <c r="F139" s="18"/>
      <c r="G139" s="5" t="s">
        <v>39</v>
      </c>
      <c r="H139" s="21"/>
    </row>
    <row r="140" spans="1:8" ht="12.75" customHeight="1">
      <c r="A140" s="3">
        <f t="shared" si="12"/>
        <v>14</v>
      </c>
      <c r="B140" s="19">
        <v>39774</v>
      </c>
      <c r="C140" s="20">
        <v>0.625</v>
      </c>
      <c r="D140" s="4" t="s">
        <v>54</v>
      </c>
      <c r="E140" s="18"/>
      <c r="F140" s="18"/>
      <c r="G140" s="5" t="s">
        <v>48</v>
      </c>
      <c r="H140" s="21"/>
    </row>
    <row r="141" spans="1:8" ht="12.75" customHeight="1">
      <c r="A141" s="3">
        <f t="shared" si="12"/>
        <v>14</v>
      </c>
      <c r="B141" s="19">
        <v>39774</v>
      </c>
      <c r="C141" s="20">
        <v>0.625</v>
      </c>
      <c r="D141" s="4" t="s">
        <v>42</v>
      </c>
      <c r="E141" s="18"/>
      <c r="F141" s="18"/>
      <c r="G141" s="5" t="s">
        <v>49</v>
      </c>
      <c r="H141" s="21"/>
    </row>
    <row r="142" spans="1:8" ht="12.75" customHeight="1">
      <c r="A142" s="3">
        <f t="shared" si="12"/>
        <v>14</v>
      </c>
      <c r="B142" s="19">
        <v>39774</v>
      </c>
      <c r="C142" s="20">
        <v>0.625</v>
      </c>
      <c r="D142" s="4" t="s">
        <v>51</v>
      </c>
      <c r="E142" s="18"/>
      <c r="F142" s="18"/>
      <c r="G142" s="5" t="s">
        <v>47</v>
      </c>
      <c r="H142" s="21"/>
    </row>
    <row r="143" spans="1:8" ht="12.75" customHeight="1">
      <c r="A143" s="3">
        <f>A133+1</f>
        <v>15</v>
      </c>
      <c r="B143" s="19">
        <v>39781</v>
      </c>
      <c r="C143" s="20">
        <v>0.625</v>
      </c>
      <c r="D143" s="4" t="s">
        <v>50</v>
      </c>
      <c r="E143" s="18"/>
      <c r="F143" s="18"/>
      <c r="G143" s="5" t="s">
        <v>40</v>
      </c>
      <c r="H143" s="21"/>
    </row>
    <row r="144" spans="1:8" ht="12.75" customHeight="1">
      <c r="A144" s="3">
        <f aca="true" t="shared" si="13" ref="A144:A152">A134+1</f>
        <v>15</v>
      </c>
      <c r="B144" s="19">
        <v>39781</v>
      </c>
      <c r="C144" s="20">
        <v>0.625</v>
      </c>
      <c r="D144" s="4" t="s">
        <v>41</v>
      </c>
      <c r="E144" s="18"/>
      <c r="F144" s="18"/>
      <c r="G144" s="5" t="s">
        <v>0</v>
      </c>
      <c r="H144" s="21"/>
    </row>
    <row r="145" spans="1:8" ht="12.75" customHeight="1">
      <c r="A145" s="3">
        <f t="shared" si="13"/>
        <v>15</v>
      </c>
      <c r="B145" s="19">
        <v>39781</v>
      </c>
      <c r="C145" s="20">
        <v>0.625</v>
      </c>
      <c r="D145" s="4" t="s">
        <v>54</v>
      </c>
      <c r="E145" s="18"/>
      <c r="F145" s="18"/>
      <c r="G145" s="5" t="s">
        <v>1</v>
      </c>
      <c r="H145" s="21"/>
    </row>
    <row r="146" spans="1:8" ht="12.75" customHeight="1">
      <c r="A146" s="3">
        <f t="shared" si="13"/>
        <v>15</v>
      </c>
      <c r="B146" s="19">
        <v>39781</v>
      </c>
      <c r="C146" s="20">
        <v>0.625</v>
      </c>
      <c r="D146" s="4" t="s">
        <v>46</v>
      </c>
      <c r="E146" s="18"/>
      <c r="F146" s="18"/>
      <c r="G146" s="5" t="s">
        <v>39</v>
      </c>
      <c r="H146" s="21"/>
    </row>
    <row r="147" spans="1:8" ht="12.75" customHeight="1">
      <c r="A147" s="3">
        <f t="shared" si="13"/>
        <v>15</v>
      </c>
      <c r="B147" s="19">
        <v>39781</v>
      </c>
      <c r="C147" s="20">
        <v>0.625</v>
      </c>
      <c r="D147" s="4" t="s">
        <v>51</v>
      </c>
      <c r="E147" s="18"/>
      <c r="F147" s="18"/>
      <c r="G147" s="5" t="s">
        <v>3</v>
      </c>
      <c r="H147" s="21"/>
    </row>
    <row r="148" spans="1:8" ht="12.75" customHeight="1">
      <c r="A148" s="3">
        <f t="shared" si="13"/>
        <v>15</v>
      </c>
      <c r="B148" s="19">
        <v>39781</v>
      </c>
      <c r="C148" s="20">
        <v>0.625</v>
      </c>
      <c r="D148" s="4" t="s">
        <v>45</v>
      </c>
      <c r="E148" s="18"/>
      <c r="F148" s="18"/>
      <c r="G148" s="5" t="s">
        <v>52</v>
      </c>
      <c r="H148" s="21"/>
    </row>
    <row r="149" spans="1:8" ht="12.75" customHeight="1">
      <c r="A149" s="3">
        <f t="shared" si="13"/>
        <v>15</v>
      </c>
      <c r="B149" s="19">
        <v>39781</v>
      </c>
      <c r="C149" s="20">
        <v>0.625</v>
      </c>
      <c r="D149" s="4" t="s">
        <v>42</v>
      </c>
      <c r="E149" s="18"/>
      <c r="F149" s="18"/>
      <c r="G149" s="5" t="s">
        <v>48</v>
      </c>
      <c r="H149" s="21"/>
    </row>
    <row r="150" spans="1:8" ht="12.75" customHeight="1">
      <c r="A150" s="3">
        <f t="shared" si="13"/>
        <v>15</v>
      </c>
      <c r="B150" s="19">
        <v>39781</v>
      </c>
      <c r="C150" s="20">
        <v>0.625</v>
      </c>
      <c r="D150" s="4" t="s">
        <v>2</v>
      </c>
      <c r="E150" s="18"/>
      <c r="F150" s="18"/>
      <c r="G150" s="5" t="s">
        <v>49</v>
      </c>
      <c r="H150" s="21"/>
    </row>
    <row r="151" spans="1:8" ht="12.75" customHeight="1">
      <c r="A151" s="3">
        <f t="shared" si="13"/>
        <v>15</v>
      </c>
      <c r="B151" s="19">
        <v>39781</v>
      </c>
      <c r="C151" s="20">
        <v>0.625</v>
      </c>
      <c r="D151" s="4" t="s">
        <v>43</v>
      </c>
      <c r="E151" s="18"/>
      <c r="F151" s="18"/>
      <c r="G151" s="5" t="s">
        <v>44</v>
      </c>
      <c r="H151" s="21"/>
    </row>
    <row r="152" spans="1:8" ht="12.75" customHeight="1">
      <c r="A152" s="3">
        <f t="shared" si="13"/>
        <v>15</v>
      </c>
      <c r="B152" s="19">
        <v>39781</v>
      </c>
      <c r="C152" s="20">
        <v>0.625</v>
      </c>
      <c r="D152" s="4" t="s">
        <v>53</v>
      </c>
      <c r="E152" s="18"/>
      <c r="F152" s="18"/>
      <c r="G152" s="5" t="s">
        <v>47</v>
      </c>
      <c r="H152" s="21"/>
    </row>
    <row r="153" spans="1:8" ht="12.75" customHeight="1">
      <c r="A153" s="3">
        <f>A143+1</f>
        <v>16</v>
      </c>
      <c r="B153" s="19">
        <v>39788</v>
      </c>
      <c r="C153" s="20">
        <v>0.625</v>
      </c>
      <c r="D153" s="4" t="s">
        <v>48</v>
      </c>
      <c r="E153" s="18"/>
      <c r="F153" s="18"/>
      <c r="G153" s="5" t="s">
        <v>50</v>
      </c>
      <c r="H153" s="21"/>
    </row>
    <row r="154" spans="1:8" ht="12.75" customHeight="1">
      <c r="A154" s="3">
        <f aca="true" t="shared" si="14" ref="A154:A162">A144+1</f>
        <v>16</v>
      </c>
      <c r="B154" s="19">
        <v>39788</v>
      </c>
      <c r="C154" s="20">
        <v>0.625</v>
      </c>
      <c r="D154" s="4" t="s">
        <v>52</v>
      </c>
      <c r="E154" s="18"/>
      <c r="F154" s="18"/>
      <c r="G154" s="5" t="s">
        <v>42</v>
      </c>
      <c r="H154" s="21"/>
    </row>
    <row r="155" spans="1:8" ht="12.75" customHeight="1">
      <c r="A155" s="3">
        <f t="shared" si="14"/>
        <v>16</v>
      </c>
      <c r="B155" s="19">
        <v>39788</v>
      </c>
      <c r="C155" s="20">
        <v>0.625</v>
      </c>
      <c r="D155" s="4" t="s">
        <v>47</v>
      </c>
      <c r="E155" s="18"/>
      <c r="F155" s="18"/>
      <c r="G155" s="5" t="s">
        <v>54</v>
      </c>
      <c r="H155" s="21"/>
    </row>
    <row r="156" spans="1:8" ht="12.75" customHeight="1">
      <c r="A156" s="3">
        <f t="shared" si="14"/>
        <v>16</v>
      </c>
      <c r="B156" s="19">
        <v>39788</v>
      </c>
      <c r="C156" s="20">
        <v>0.625</v>
      </c>
      <c r="D156" s="4" t="s">
        <v>44</v>
      </c>
      <c r="E156" s="18"/>
      <c r="F156" s="18"/>
      <c r="G156" s="5" t="s">
        <v>53</v>
      </c>
      <c r="H156" s="21"/>
    </row>
    <row r="157" spans="1:8" ht="12.75" customHeight="1">
      <c r="A157" s="3">
        <f t="shared" si="14"/>
        <v>16</v>
      </c>
      <c r="B157" s="19">
        <v>39788</v>
      </c>
      <c r="C157" s="20">
        <v>0.625</v>
      </c>
      <c r="D157" s="4" t="s">
        <v>1</v>
      </c>
      <c r="E157" s="18"/>
      <c r="F157" s="18"/>
      <c r="G157" s="5" t="s">
        <v>2</v>
      </c>
      <c r="H157" s="21"/>
    </row>
    <row r="158" spans="1:8" ht="12.75" customHeight="1">
      <c r="A158" s="3">
        <f t="shared" si="14"/>
        <v>16</v>
      </c>
      <c r="B158" s="19">
        <v>39788</v>
      </c>
      <c r="C158" s="20">
        <v>0.625</v>
      </c>
      <c r="D158" s="4" t="s">
        <v>39</v>
      </c>
      <c r="E158" s="18"/>
      <c r="F158" s="18"/>
      <c r="G158" s="5" t="s">
        <v>41</v>
      </c>
      <c r="H158" s="21"/>
    </row>
    <row r="159" spans="1:8" ht="12.75" customHeight="1">
      <c r="A159" s="3">
        <f t="shared" si="14"/>
        <v>16</v>
      </c>
      <c r="B159" s="19">
        <v>39788</v>
      </c>
      <c r="C159" s="20">
        <v>0.625</v>
      </c>
      <c r="D159" s="4" t="s">
        <v>0</v>
      </c>
      <c r="E159" s="18"/>
      <c r="F159" s="18"/>
      <c r="G159" s="5" t="s">
        <v>46</v>
      </c>
      <c r="H159" s="21"/>
    </row>
    <row r="160" spans="1:8" ht="12.75" customHeight="1">
      <c r="A160" s="3">
        <f t="shared" si="14"/>
        <v>16</v>
      </c>
      <c r="B160" s="19">
        <v>39788</v>
      </c>
      <c r="C160" s="20">
        <v>0.625</v>
      </c>
      <c r="D160" s="4" t="s">
        <v>40</v>
      </c>
      <c r="E160" s="18"/>
      <c r="F160" s="18"/>
      <c r="G160" s="5" t="s">
        <v>51</v>
      </c>
      <c r="H160" s="21"/>
    </row>
    <row r="161" spans="1:8" ht="12.75" customHeight="1">
      <c r="A161" s="3">
        <f t="shared" si="14"/>
        <v>16</v>
      </c>
      <c r="B161" s="19">
        <v>39788</v>
      </c>
      <c r="C161" s="20">
        <v>0.625</v>
      </c>
      <c r="D161" s="4" t="s">
        <v>49</v>
      </c>
      <c r="E161" s="18"/>
      <c r="F161" s="18"/>
      <c r="G161" s="5" t="s">
        <v>45</v>
      </c>
      <c r="H161" s="21"/>
    </row>
    <row r="162" spans="1:8" ht="12.75" customHeight="1">
      <c r="A162" s="3">
        <f t="shared" si="14"/>
        <v>16</v>
      </c>
      <c r="B162" s="19">
        <v>39788</v>
      </c>
      <c r="C162" s="20">
        <v>0.625</v>
      </c>
      <c r="D162" s="4" t="s">
        <v>3</v>
      </c>
      <c r="E162" s="18"/>
      <c r="F162" s="18"/>
      <c r="G162" s="5" t="s">
        <v>43</v>
      </c>
      <c r="H162" s="21"/>
    </row>
    <row r="163" spans="1:8" ht="12.75" customHeight="1">
      <c r="A163" s="3">
        <f>A153+1</f>
        <v>17</v>
      </c>
      <c r="B163" s="19">
        <v>39795</v>
      </c>
      <c r="C163" s="20">
        <v>0.625</v>
      </c>
      <c r="D163" s="4" t="s">
        <v>53</v>
      </c>
      <c r="E163" s="18"/>
      <c r="F163" s="18"/>
      <c r="G163" s="5" t="s">
        <v>52</v>
      </c>
      <c r="H163" s="21"/>
    </row>
    <row r="164" spans="1:8" ht="12.75" customHeight="1">
      <c r="A164" s="3">
        <f aca="true" t="shared" si="15" ref="A164:A172">A154+1</f>
        <v>17</v>
      </c>
      <c r="B164" s="19">
        <v>39795</v>
      </c>
      <c r="C164" s="20">
        <v>0.625</v>
      </c>
      <c r="D164" s="4" t="s">
        <v>51</v>
      </c>
      <c r="E164" s="18"/>
      <c r="F164" s="18"/>
      <c r="G164" s="5" t="s">
        <v>48</v>
      </c>
      <c r="H164" s="21"/>
    </row>
    <row r="165" spans="1:8" ht="12.75" customHeight="1">
      <c r="A165" s="3">
        <f t="shared" si="15"/>
        <v>17</v>
      </c>
      <c r="B165" s="19">
        <v>39795</v>
      </c>
      <c r="C165" s="20">
        <v>0.625</v>
      </c>
      <c r="D165" s="4" t="s">
        <v>41</v>
      </c>
      <c r="E165" s="18"/>
      <c r="F165" s="18"/>
      <c r="G165" s="5" t="s">
        <v>47</v>
      </c>
      <c r="H165" s="21"/>
    </row>
    <row r="166" spans="1:8" ht="12.75" customHeight="1">
      <c r="A166" s="3">
        <f t="shared" si="15"/>
        <v>17</v>
      </c>
      <c r="B166" s="19">
        <v>39795</v>
      </c>
      <c r="C166" s="20">
        <v>0.625</v>
      </c>
      <c r="D166" s="4" t="s">
        <v>50</v>
      </c>
      <c r="E166" s="18"/>
      <c r="F166" s="18"/>
      <c r="G166" s="5" t="s">
        <v>44</v>
      </c>
      <c r="H166" s="21"/>
    </row>
    <row r="167" spans="1:8" ht="12.75" customHeight="1">
      <c r="A167" s="3">
        <f t="shared" si="15"/>
        <v>17</v>
      </c>
      <c r="B167" s="19">
        <v>39795</v>
      </c>
      <c r="C167" s="20">
        <v>0.625</v>
      </c>
      <c r="D167" s="4" t="s">
        <v>43</v>
      </c>
      <c r="E167" s="18"/>
      <c r="F167" s="18"/>
      <c r="G167" s="5" t="s">
        <v>1</v>
      </c>
      <c r="H167" s="21"/>
    </row>
    <row r="168" spans="1:8" ht="12.75" customHeight="1">
      <c r="A168" s="3">
        <f t="shared" si="15"/>
        <v>17</v>
      </c>
      <c r="B168" s="19">
        <v>39795</v>
      </c>
      <c r="C168" s="20">
        <v>0.625</v>
      </c>
      <c r="D168" s="4" t="s">
        <v>42</v>
      </c>
      <c r="E168" s="18"/>
      <c r="F168" s="18"/>
      <c r="G168" s="5" t="s">
        <v>3</v>
      </c>
      <c r="H168" s="21"/>
    </row>
    <row r="169" spans="1:8" ht="12.75" customHeight="1">
      <c r="A169" s="3">
        <f t="shared" si="15"/>
        <v>17</v>
      </c>
      <c r="B169" s="19">
        <v>39795</v>
      </c>
      <c r="C169" s="20">
        <v>0.625</v>
      </c>
      <c r="D169" s="4" t="s">
        <v>45</v>
      </c>
      <c r="E169" s="18"/>
      <c r="F169" s="18"/>
      <c r="G169" s="5" t="s">
        <v>39</v>
      </c>
      <c r="H169" s="21"/>
    </row>
    <row r="170" spans="1:8" ht="12.75" customHeight="1">
      <c r="A170" s="3">
        <f t="shared" si="15"/>
        <v>17</v>
      </c>
      <c r="B170" s="19">
        <v>39795</v>
      </c>
      <c r="C170" s="20">
        <v>0.625</v>
      </c>
      <c r="D170" s="4" t="s">
        <v>2</v>
      </c>
      <c r="E170" s="18"/>
      <c r="F170" s="18"/>
      <c r="G170" s="5" t="s">
        <v>0</v>
      </c>
      <c r="H170" s="21"/>
    </row>
    <row r="171" spans="1:8" ht="12.75" customHeight="1">
      <c r="A171" s="3">
        <f t="shared" si="15"/>
        <v>17</v>
      </c>
      <c r="B171" s="19">
        <v>39795</v>
      </c>
      <c r="C171" s="20">
        <v>0.625</v>
      </c>
      <c r="D171" s="4" t="s">
        <v>46</v>
      </c>
      <c r="E171" s="18"/>
      <c r="F171" s="18"/>
      <c r="G171" s="5" t="s">
        <v>40</v>
      </c>
      <c r="H171" s="21"/>
    </row>
    <row r="172" spans="1:8" ht="12.75" customHeight="1">
      <c r="A172" s="3">
        <f t="shared" si="15"/>
        <v>17</v>
      </c>
      <c r="B172" s="19">
        <v>39795</v>
      </c>
      <c r="C172" s="20">
        <v>0.625</v>
      </c>
      <c r="D172" s="4" t="s">
        <v>54</v>
      </c>
      <c r="E172" s="18"/>
      <c r="F172" s="18"/>
      <c r="G172" s="5" t="s">
        <v>49</v>
      </c>
      <c r="H172" s="21"/>
    </row>
    <row r="173" spans="1:8" ht="12.75" customHeight="1">
      <c r="A173" s="3">
        <f>A163+1</f>
        <v>18</v>
      </c>
      <c r="B173" s="19">
        <v>39802</v>
      </c>
      <c r="C173" s="20">
        <v>0.625</v>
      </c>
      <c r="D173" s="4" t="s">
        <v>49</v>
      </c>
      <c r="E173" s="18"/>
      <c r="F173" s="18"/>
      <c r="G173" s="5" t="s">
        <v>46</v>
      </c>
      <c r="H173" s="21"/>
    </row>
    <row r="174" spans="1:8" ht="12.75" customHeight="1">
      <c r="A174" s="3">
        <f aca="true" t="shared" si="16" ref="A174:A182">A164+1</f>
        <v>18</v>
      </c>
      <c r="B174" s="19">
        <v>39802</v>
      </c>
      <c r="C174" s="20">
        <v>0.625</v>
      </c>
      <c r="D174" s="4" t="s">
        <v>47</v>
      </c>
      <c r="E174" s="18"/>
      <c r="F174" s="18"/>
      <c r="G174" s="5" t="s">
        <v>45</v>
      </c>
      <c r="H174" s="21"/>
    </row>
    <row r="175" spans="1:8" ht="12.75" customHeight="1">
      <c r="A175" s="3">
        <f t="shared" si="16"/>
        <v>18</v>
      </c>
      <c r="B175" s="19">
        <v>39802</v>
      </c>
      <c r="C175" s="20">
        <v>0.625</v>
      </c>
      <c r="D175" s="4" t="s">
        <v>0</v>
      </c>
      <c r="E175" s="18"/>
      <c r="F175" s="18"/>
      <c r="G175" s="5" t="s">
        <v>42</v>
      </c>
      <c r="H175" s="21"/>
    </row>
    <row r="176" spans="1:8" ht="12.75" customHeight="1">
      <c r="A176" s="3">
        <f t="shared" si="16"/>
        <v>18</v>
      </c>
      <c r="B176" s="19">
        <v>39802</v>
      </c>
      <c r="C176" s="20">
        <v>0.625</v>
      </c>
      <c r="D176" s="4" t="s">
        <v>44</v>
      </c>
      <c r="E176" s="18"/>
      <c r="F176" s="18"/>
      <c r="G176" s="5" t="s">
        <v>2</v>
      </c>
      <c r="H176" s="21"/>
    </row>
    <row r="177" spans="1:8" ht="12.75" customHeight="1">
      <c r="A177" s="3">
        <f t="shared" si="16"/>
        <v>18</v>
      </c>
      <c r="B177" s="19">
        <v>39802</v>
      </c>
      <c r="C177" s="20">
        <v>0.625</v>
      </c>
      <c r="D177" s="4" t="s">
        <v>3</v>
      </c>
      <c r="E177" s="18"/>
      <c r="F177" s="18"/>
      <c r="G177" s="5" t="s">
        <v>54</v>
      </c>
      <c r="H177" s="21"/>
    </row>
    <row r="178" spans="1:8" ht="12.75" customHeight="1">
      <c r="A178" s="3">
        <f t="shared" si="16"/>
        <v>18</v>
      </c>
      <c r="B178" s="19">
        <v>39802</v>
      </c>
      <c r="C178" s="20">
        <v>0.625</v>
      </c>
      <c r="D178" s="4" t="s">
        <v>1</v>
      </c>
      <c r="E178" s="18"/>
      <c r="F178" s="18"/>
      <c r="G178" s="5" t="s">
        <v>51</v>
      </c>
      <c r="H178" s="21"/>
    </row>
    <row r="179" spans="1:8" ht="12.75" customHeight="1">
      <c r="A179" s="3">
        <f t="shared" si="16"/>
        <v>18</v>
      </c>
      <c r="B179" s="19">
        <v>39802</v>
      </c>
      <c r="C179" s="20">
        <v>0.625</v>
      </c>
      <c r="D179" s="4" t="s">
        <v>39</v>
      </c>
      <c r="E179" s="18"/>
      <c r="F179" s="18"/>
      <c r="G179" s="5" t="s">
        <v>43</v>
      </c>
      <c r="H179" s="21"/>
    </row>
    <row r="180" spans="1:8" ht="12.75" customHeight="1">
      <c r="A180" s="3">
        <f t="shared" si="16"/>
        <v>18</v>
      </c>
      <c r="B180" s="19">
        <v>39802</v>
      </c>
      <c r="C180" s="20">
        <v>0.625</v>
      </c>
      <c r="D180" s="4" t="s">
        <v>52</v>
      </c>
      <c r="E180" s="18"/>
      <c r="F180" s="18"/>
      <c r="G180" s="5" t="s">
        <v>50</v>
      </c>
      <c r="H180" s="21"/>
    </row>
    <row r="181" spans="1:8" ht="12.75" customHeight="1">
      <c r="A181" s="3">
        <f t="shared" si="16"/>
        <v>18</v>
      </c>
      <c r="B181" s="19">
        <v>39802</v>
      </c>
      <c r="C181" s="20">
        <v>0.625</v>
      </c>
      <c r="D181" s="4" t="s">
        <v>48</v>
      </c>
      <c r="E181" s="18"/>
      <c r="F181" s="18"/>
      <c r="G181" s="5" t="s">
        <v>53</v>
      </c>
      <c r="H181" s="21"/>
    </row>
    <row r="182" spans="1:8" ht="12.75" customHeight="1">
      <c r="A182" s="3">
        <f t="shared" si="16"/>
        <v>18</v>
      </c>
      <c r="B182" s="19">
        <v>39802</v>
      </c>
      <c r="C182" s="20">
        <v>0.625</v>
      </c>
      <c r="D182" s="4" t="s">
        <v>40</v>
      </c>
      <c r="E182" s="18"/>
      <c r="F182" s="18"/>
      <c r="G182" s="5" t="s">
        <v>41</v>
      </c>
      <c r="H182" s="21"/>
    </row>
    <row r="183" spans="1:8" ht="12.75" customHeight="1">
      <c r="A183" s="3">
        <f>A173+1</f>
        <v>19</v>
      </c>
      <c r="B183" s="19">
        <v>39808</v>
      </c>
      <c r="C183" s="20">
        <v>0.625</v>
      </c>
      <c r="D183" s="4" t="s">
        <v>43</v>
      </c>
      <c r="E183" s="18"/>
      <c r="F183" s="18"/>
      <c r="G183" s="5" t="s">
        <v>49</v>
      </c>
      <c r="H183" s="21"/>
    </row>
    <row r="184" spans="1:8" ht="12.75" customHeight="1">
      <c r="A184" s="3">
        <f aca="true" t="shared" si="17" ref="A184:A192">A174+1</f>
        <v>19</v>
      </c>
      <c r="B184" s="19">
        <v>39808</v>
      </c>
      <c r="C184" s="20">
        <v>0.625</v>
      </c>
      <c r="D184" s="4" t="s">
        <v>51</v>
      </c>
      <c r="E184" s="18"/>
      <c r="F184" s="18"/>
      <c r="G184" s="5" t="s">
        <v>39</v>
      </c>
      <c r="H184" s="21"/>
    </row>
    <row r="185" spans="1:8" ht="12.75" customHeight="1">
      <c r="A185" s="3">
        <f t="shared" si="17"/>
        <v>19</v>
      </c>
      <c r="B185" s="19">
        <v>39808</v>
      </c>
      <c r="C185" s="20">
        <v>0.625</v>
      </c>
      <c r="D185" s="4" t="s">
        <v>42</v>
      </c>
      <c r="E185" s="18"/>
      <c r="F185" s="18"/>
      <c r="G185" s="5" t="s">
        <v>40</v>
      </c>
      <c r="H185" s="21"/>
    </row>
    <row r="186" spans="1:8" ht="12.75" customHeight="1">
      <c r="A186" s="3">
        <f t="shared" si="17"/>
        <v>19</v>
      </c>
      <c r="B186" s="19">
        <v>39808</v>
      </c>
      <c r="C186" s="20">
        <v>0.625</v>
      </c>
      <c r="D186" s="4" t="s">
        <v>41</v>
      </c>
      <c r="E186" s="18"/>
      <c r="F186" s="18"/>
      <c r="G186" s="5" t="s">
        <v>48</v>
      </c>
      <c r="H186" s="21"/>
    </row>
    <row r="187" spans="1:8" ht="12.75" customHeight="1">
      <c r="A187" s="3">
        <f t="shared" si="17"/>
        <v>19</v>
      </c>
      <c r="B187" s="19">
        <v>39808</v>
      </c>
      <c r="C187" s="20">
        <v>0.625</v>
      </c>
      <c r="D187" s="4" t="s">
        <v>54</v>
      </c>
      <c r="E187" s="18"/>
      <c r="F187" s="18"/>
      <c r="G187" s="5" t="s">
        <v>0</v>
      </c>
      <c r="H187" s="21"/>
    </row>
    <row r="188" spans="1:8" ht="12.75" customHeight="1">
      <c r="A188" s="3">
        <f t="shared" si="17"/>
        <v>19</v>
      </c>
      <c r="B188" s="19">
        <v>39808</v>
      </c>
      <c r="C188" s="20">
        <v>0.625</v>
      </c>
      <c r="D188" s="4" t="s">
        <v>45</v>
      </c>
      <c r="E188" s="18"/>
      <c r="F188" s="18"/>
      <c r="G188" s="5" t="s">
        <v>44</v>
      </c>
      <c r="H188" s="21"/>
    </row>
    <row r="189" spans="1:8" ht="12.75" customHeight="1">
      <c r="A189" s="3">
        <f t="shared" si="17"/>
        <v>19</v>
      </c>
      <c r="B189" s="19">
        <v>39808</v>
      </c>
      <c r="C189" s="20">
        <v>0.625</v>
      </c>
      <c r="D189" s="4" t="s">
        <v>2</v>
      </c>
      <c r="E189" s="18"/>
      <c r="F189" s="18"/>
      <c r="G189" s="5" t="s">
        <v>52</v>
      </c>
      <c r="H189" s="21"/>
    </row>
    <row r="190" spans="1:8" ht="12.75" customHeight="1">
      <c r="A190" s="3">
        <f t="shared" si="17"/>
        <v>19</v>
      </c>
      <c r="B190" s="19">
        <v>39808</v>
      </c>
      <c r="C190" s="20">
        <v>0.625</v>
      </c>
      <c r="D190" s="4" t="s">
        <v>53</v>
      </c>
      <c r="E190" s="18"/>
      <c r="F190" s="18"/>
      <c r="G190" s="5" t="s">
        <v>1</v>
      </c>
      <c r="H190" s="21"/>
    </row>
    <row r="191" spans="1:8" ht="12.75" customHeight="1">
      <c r="A191" s="3">
        <f t="shared" si="17"/>
        <v>19</v>
      </c>
      <c r="B191" s="19">
        <v>39808</v>
      </c>
      <c r="C191" s="20">
        <v>0.625</v>
      </c>
      <c r="D191" s="4" t="s">
        <v>46</v>
      </c>
      <c r="E191" s="18"/>
      <c r="F191" s="18"/>
      <c r="G191" s="5" t="s">
        <v>3</v>
      </c>
      <c r="H191" s="21"/>
    </row>
    <row r="192" spans="1:8" ht="12.75" customHeight="1">
      <c r="A192" s="3">
        <f t="shared" si="17"/>
        <v>19</v>
      </c>
      <c r="B192" s="19">
        <v>39808</v>
      </c>
      <c r="C192" s="20">
        <v>0.625</v>
      </c>
      <c r="D192" s="4" t="s">
        <v>50</v>
      </c>
      <c r="E192" s="18"/>
      <c r="F192" s="18"/>
      <c r="G192" s="5" t="s">
        <v>47</v>
      </c>
      <c r="H192" s="21"/>
    </row>
    <row r="193" spans="1:8" ht="12.75" customHeight="1">
      <c r="A193" s="3">
        <f>A183+1</f>
        <v>20</v>
      </c>
      <c r="B193" s="19">
        <v>39810</v>
      </c>
      <c r="C193" s="20">
        <v>0.625</v>
      </c>
      <c r="D193" s="4" t="s">
        <v>47</v>
      </c>
      <c r="E193" s="18"/>
      <c r="F193" s="18"/>
      <c r="G193" s="5" t="s">
        <v>2</v>
      </c>
      <c r="H193" s="21"/>
    </row>
    <row r="194" spans="1:8" ht="12.75" customHeight="1">
      <c r="A194" s="3">
        <f aca="true" t="shared" si="18" ref="A194:A202">A184+1</f>
        <v>20</v>
      </c>
      <c r="B194" s="19">
        <v>39810</v>
      </c>
      <c r="C194" s="20">
        <v>0.625</v>
      </c>
      <c r="D194" s="4" t="s">
        <v>48</v>
      </c>
      <c r="E194" s="18"/>
      <c r="F194" s="18"/>
      <c r="G194" s="5" t="s">
        <v>43</v>
      </c>
      <c r="H194" s="21"/>
    </row>
    <row r="195" spans="1:8" ht="12.75" customHeight="1">
      <c r="A195" s="3">
        <f t="shared" si="18"/>
        <v>20</v>
      </c>
      <c r="B195" s="19">
        <v>39810</v>
      </c>
      <c r="C195" s="20">
        <v>0.625</v>
      </c>
      <c r="D195" s="4" t="s">
        <v>52</v>
      </c>
      <c r="E195" s="18"/>
      <c r="F195" s="18"/>
      <c r="G195" s="5" t="s">
        <v>46</v>
      </c>
      <c r="H195" s="21"/>
    </row>
    <row r="196" spans="1:8" ht="12.75" customHeight="1">
      <c r="A196" s="3">
        <f t="shared" si="18"/>
        <v>20</v>
      </c>
      <c r="B196" s="19">
        <v>39810</v>
      </c>
      <c r="C196" s="20">
        <v>0.625</v>
      </c>
      <c r="D196" s="4" t="s">
        <v>40</v>
      </c>
      <c r="E196" s="18"/>
      <c r="F196" s="18"/>
      <c r="G196" s="5" t="s">
        <v>53</v>
      </c>
      <c r="H196" s="21"/>
    </row>
    <row r="197" spans="1:8" ht="12.75" customHeight="1">
      <c r="A197" s="3">
        <f t="shared" si="18"/>
        <v>20</v>
      </c>
      <c r="B197" s="19">
        <v>39810</v>
      </c>
      <c r="C197" s="20">
        <v>0.625</v>
      </c>
      <c r="D197" s="4" t="s">
        <v>1</v>
      </c>
      <c r="E197" s="18"/>
      <c r="F197" s="18"/>
      <c r="G197" s="5" t="s">
        <v>42</v>
      </c>
      <c r="H197" s="21"/>
    </row>
    <row r="198" spans="1:8" ht="12.75" customHeight="1">
      <c r="A198" s="3">
        <f t="shared" si="18"/>
        <v>20</v>
      </c>
      <c r="B198" s="19">
        <v>39810</v>
      </c>
      <c r="C198" s="20">
        <v>0.625</v>
      </c>
      <c r="D198" s="4" t="s">
        <v>39</v>
      </c>
      <c r="E198" s="18"/>
      <c r="F198" s="18"/>
      <c r="G198" s="5" t="s">
        <v>50</v>
      </c>
      <c r="H198" s="21"/>
    </row>
    <row r="199" spans="1:8" ht="12.75" customHeight="1">
      <c r="A199" s="3">
        <f t="shared" si="18"/>
        <v>20</v>
      </c>
      <c r="B199" s="19">
        <v>39810</v>
      </c>
      <c r="C199" s="20">
        <v>0.625</v>
      </c>
      <c r="D199" s="4" t="s">
        <v>0</v>
      </c>
      <c r="E199" s="18"/>
      <c r="F199" s="18"/>
      <c r="G199" s="5" t="s">
        <v>45</v>
      </c>
      <c r="H199" s="21"/>
    </row>
    <row r="200" spans="1:8" ht="12.75" customHeight="1">
      <c r="A200" s="3">
        <f t="shared" si="18"/>
        <v>20</v>
      </c>
      <c r="B200" s="19">
        <v>39810</v>
      </c>
      <c r="C200" s="20">
        <v>0.625</v>
      </c>
      <c r="D200" s="4" t="s">
        <v>49</v>
      </c>
      <c r="E200" s="18"/>
      <c r="F200" s="18"/>
      <c r="G200" s="5" t="s">
        <v>51</v>
      </c>
      <c r="H200" s="21"/>
    </row>
    <row r="201" spans="1:8" ht="12.75" customHeight="1">
      <c r="A201" s="3">
        <f t="shared" si="18"/>
        <v>20</v>
      </c>
      <c r="B201" s="19">
        <v>39810</v>
      </c>
      <c r="C201" s="20">
        <v>0.625</v>
      </c>
      <c r="D201" s="4" t="s">
        <v>44</v>
      </c>
      <c r="E201" s="18"/>
      <c r="F201" s="18"/>
      <c r="G201" s="5" t="s">
        <v>54</v>
      </c>
      <c r="H201" s="21"/>
    </row>
    <row r="202" spans="1:8" ht="12.75" customHeight="1">
      <c r="A202" s="3">
        <f t="shared" si="18"/>
        <v>20</v>
      </c>
      <c r="B202" s="19">
        <v>39810</v>
      </c>
      <c r="C202" s="20">
        <v>0.625</v>
      </c>
      <c r="D202" s="4" t="s">
        <v>3</v>
      </c>
      <c r="E202" s="18"/>
      <c r="F202" s="18"/>
      <c r="G202" s="5" t="s">
        <v>41</v>
      </c>
      <c r="H202" s="21"/>
    </row>
    <row r="203" spans="1:8" ht="12.75" customHeight="1">
      <c r="A203" s="3">
        <f>A193+1</f>
        <v>21</v>
      </c>
      <c r="B203" s="19">
        <v>39457</v>
      </c>
      <c r="C203" s="20">
        <v>0.625</v>
      </c>
      <c r="D203" s="4" t="s">
        <v>46</v>
      </c>
      <c r="E203" s="18"/>
      <c r="F203" s="18"/>
      <c r="G203" s="5" t="s">
        <v>45</v>
      </c>
      <c r="H203" s="21"/>
    </row>
    <row r="204" spans="1:8" ht="12.75" customHeight="1">
      <c r="A204" s="3">
        <f aca="true" t="shared" si="19" ref="A204:A212">A194+1</f>
        <v>21</v>
      </c>
      <c r="B204" s="19">
        <v>39457</v>
      </c>
      <c r="C204" s="20">
        <v>0.625</v>
      </c>
      <c r="D204" s="4" t="s">
        <v>40</v>
      </c>
      <c r="E204" s="18"/>
      <c r="F204" s="18"/>
      <c r="G204" s="5" t="s">
        <v>49</v>
      </c>
      <c r="H204" s="21"/>
    </row>
    <row r="205" spans="1:8" ht="12.75" customHeight="1">
      <c r="A205" s="3">
        <f t="shared" si="19"/>
        <v>21</v>
      </c>
      <c r="B205" s="19">
        <v>39457</v>
      </c>
      <c r="C205" s="20">
        <v>0.625</v>
      </c>
      <c r="D205" s="4" t="s">
        <v>50</v>
      </c>
      <c r="E205" s="18"/>
      <c r="F205" s="18"/>
      <c r="G205" s="5" t="s">
        <v>1</v>
      </c>
      <c r="H205" s="21"/>
    </row>
    <row r="206" spans="1:8" ht="12.75" customHeight="1">
      <c r="A206" s="3">
        <f t="shared" si="19"/>
        <v>21</v>
      </c>
      <c r="B206" s="19">
        <v>39457</v>
      </c>
      <c r="C206" s="20">
        <v>0.625</v>
      </c>
      <c r="D206" s="4" t="s">
        <v>2</v>
      </c>
      <c r="E206" s="18"/>
      <c r="F206" s="18"/>
      <c r="G206" s="5" t="s">
        <v>51</v>
      </c>
      <c r="H206" s="21"/>
    </row>
    <row r="207" spans="1:8" ht="12.75" customHeight="1">
      <c r="A207" s="3">
        <f t="shared" si="19"/>
        <v>21</v>
      </c>
      <c r="B207" s="19">
        <v>39457</v>
      </c>
      <c r="C207" s="20">
        <v>0.625</v>
      </c>
      <c r="D207" s="4" t="s">
        <v>0</v>
      </c>
      <c r="E207" s="18"/>
      <c r="F207" s="18"/>
      <c r="G207" s="5" t="s">
        <v>52</v>
      </c>
      <c r="H207" s="21"/>
    </row>
    <row r="208" spans="1:8" ht="12.75" customHeight="1">
      <c r="A208" s="3">
        <f t="shared" si="19"/>
        <v>21</v>
      </c>
      <c r="B208" s="19">
        <v>39457</v>
      </c>
      <c r="C208" s="20">
        <v>0.625</v>
      </c>
      <c r="D208" s="4" t="s">
        <v>3</v>
      </c>
      <c r="E208" s="18"/>
      <c r="F208" s="18"/>
      <c r="G208" s="5" t="s">
        <v>53</v>
      </c>
      <c r="H208" s="21"/>
    </row>
    <row r="209" spans="1:8" ht="12.75" customHeight="1">
      <c r="A209" s="3">
        <f t="shared" si="19"/>
        <v>21</v>
      </c>
      <c r="B209" s="19">
        <v>39457</v>
      </c>
      <c r="C209" s="20">
        <v>0.625</v>
      </c>
      <c r="D209" s="4" t="s">
        <v>48</v>
      </c>
      <c r="E209" s="18"/>
      <c r="F209" s="18"/>
      <c r="G209" s="5" t="s">
        <v>39</v>
      </c>
      <c r="H209" s="21"/>
    </row>
    <row r="210" spans="1:8" ht="12.75" customHeight="1">
      <c r="A210" s="3">
        <f t="shared" si="19"/>
        <v>21</v>
      </c>
      <c r="B210" s="19">
        <v>39457</v>
      </c>
      <c r="C210" s="20">
        <v>0.625</v>
      </c>
      <c r="D210" s="4" t="s">
        <v>54</v>
      </c>
      <c r="E210" s="18"/>
      <c r="F210" s="18"/>
      <c r="G210" s="5" t="s">
        <v>42</v>
      </c>
      <c r="H210" s="21"/>
    </row>
    <row r="211" spans="1:8" ht="12.75" customHeight="1">
      <c r="A211" s="3">
        <f t="shared" si="19"/>
        <v>21</v>
      </c>
      <c r="B211" s="19">
        <v>39457</v>
      </c>
      <c r="C211" s="20">
        <v>0.625</v>
      </c>
      <c r="D211" s="4" t="s">
        <v>41</v>
      </c>
      <c r="E211" s="18"/>
      <c r="F211" s="18"/>
      <c r="G211" s="5" t="s">
        <v>43</v>
      </c>
      <c r="H211" s="21"/>
    </row>
    <row r="212" spans="1:8" ht="12.75" customHeight="1">
      <c r="A212" s="3">
        <f t="shared" si="19"/>
        <v>21</v>
      </c>
      <c r="B212" s="19">
        <v>39457</v>
      </c>
      <c r="C212" s="20">
        <v>0.625</v>
      </c>
      <c r="D212" s="4" t="s">
        <v>47</v>
      </c>
      <c r="E212" s="18"/>
      <c r="F212" s="18"/>
      <c r="G212" s="5" t="s">
        <v>44</v>
      </c>
      <c r="H212" s="21"/>
    </row>
    <row r="213" spans="1:8" ht="12.75" customHeight="1">
      <c r="A213" s="3">
        <f>A203+1</f>
        <v>22</v>
      </c>
      <c r="B213" s="19">
        <v>39464</v>
      </c>
      <c r="C213" s="20">
        <v>0.625</v>
      </c>
      <c r="D213" s="4" t="s">
        <v>45</v>
      </c>
      <c r="E213" s="18"/>
      <c r="F213" s="18"/>
      <c r="G213" s="5" t="s">
        <v>48</v>
      </c>
      <c r="H213" s="21"/>
    </row>
    <row r="214" spans="1:8" ht="12.75" customHeight="1">
      <c r="A214" s="3">
        <f aca="true" t="shared" si="20" ref="A214:A222">A204+1</f>
        <v>22</v>
      </c>
      <c r="B214" s="19">
        <v>39464</v>
      </c>
      <c r="C214" s="20">
        <v>0.625</v>
      </c>
      <c r="D214" s="4" t="s">
        <v>43</v>
      </c>
      <c r="E214" s="18"/>
      <c r="F214" s="18"/>
      <c r="G214" s="5" t="s">
        <v>50</v>
      </c>
      <c r="H214" s="21"/>
    </row>
    <row r="215" spans="1:8" ht="12.75" customHeight="1">
      <c r="A215" s="3">
        <f t="shared" si="20"/>
        <v>22</v>
      </c>
      <c r="B215" s="19">
        <v>39464</v>
      </c>
      <c r="C215" s="20">
        <v>0.625</v>
      </c>
      <c r="D215" s="4" t="s">
        <v>51</v>
      </c>
      <c r="E215" s="18"/>
      <c r="F215" s="18"/>
      <c r="G215" s="5" t="s">
        <v>54</v>
      </c>
      <c r="H215" s="21"/>
    </row>
    <row r="216" spans="1:8" ht="12.75" customHeight="1">
      <c r="A216" s="3">
        <f t="shared" si="20"/>
        <v>22</v>
      </c>
      <c r="B216" s="19">
        <v>39464</v>
      </c>
      <c r="C216" s="20">
        <v>0.625</v>
      </c>
      <c r="D216" s="4" t="s">
        <v>44</v>
      </c>
      <c r="E216" s="18"/>
      <c r="F216" s="18"/>
      <c r="G216" s="5" t="s">
        <v>3</v>
      </c>
      <c r="H216" s="21"/>
    </row>
    <row r="217" spans="1:8" ht="12.75" customHeight="1">
      <c r="A217" s="3">
        <f t="shared" si="20"/>
        <v>22</v>
      </c>
      <c r="B217" s="19">
        <v>39464</v>
      </c>
      <c r="C217" s="20">
        <v>0.625</v>
      </c>
      <c r="D217" s="4" t="s">
        <v>39</v>
      </c>
      <c r="E217" s="18"/>
      <c r="F217" s="18"/>
      <c r="G217" s="5" t="s">
        <v>47</v>
      </c>
      <c r="H217" s="21"/>
    </row>
    <row r="218" spans="1:8" ht="12.75" customHeight="1">
      <c r="A218" s="3">
        <f t="shared" si="20"/>
        <v>22</v>
      </c>
      <c r="B218" s="19">
        <v>39464</v>
      </c>
      <c r="C218" s="20">
        <v>0.625</v>
      </c>
      <c r="D218" s="4" t="s">
        <v>52</v>
      </c>
      <c r="E218" s="18"/>
      <c r="F218" s="18"/>
      <c r="G218" s="5" t="s">
        <v>40</v>
      </c>
      <c r="H218" s="21"/>
    </row>
    <row r="219" spans="1:8" ht="12.75" customHeight="1">
      <c r="A219" s="3">
        <f t="shared" si="20"/>
        <v>22</v>
      </c>
      <c r="B219" s="19">
        <v>39464</v>
      </c>
      <c r="C219" s="20">
        <v>0.625</v>
      </c>
      <c r="D219" s="4" t="s">
        <v>53</v>
      </c>
      <c r="E219" s="18"/>
      <c r="F219" s="18"/>
      <c r="G219" s="5" t="s">
        <v>46</v>
      </c>
      <c r="H219" s="21"/>
    </row>
    <row r="220" spans="1:8" ht="12.75" customHeight="1">
      <c r="A220" s="3">
        <f t="shared" si="20"/>
        <v>22</v>
      </c>
      <c r="B220" s="19">
        <v>39464</v>
      </c>
      <c r="C220" s="20">
        <v>0.625</v>
      </c>
      <c r="D220" s="4" t="s">
        <v>49</v>
      </c>
      <c r="E220" s="18"/>
      <c r="F220" s="18"/>
      <c r="G220" s="5" t="s">
        <v>0</v>
      </c>
      <c r="H220" s="21"/>
    </row>
    <row r="221" spans="1:8" ht="12.75" customHeight="1">
      <c r="A221" s="3">
        <f t="shared" si="20"/>
        <v>22</v>
      </c>
      <c r="B221" s="19">
        <v>39464</v>
      </c>
      <c r="C221" s="20">
        <v>0.625</v>
      </c>
      <c r="D221" s="4" t="s">
        <v>1</v>
      </c>
      <c r="E221" s="18"/>
      <c r="F221" s="18"/>
      <c r="G221" s="5" t="s">
        <v>41</v>
      </c>
      <c r="H221" s="21"/>
    </row>
    <row r="222" spans="1:8" ht="12.75" customHeight="1">
      <c r="A222" s="3">
        <f t="shared" si="20"/>
        <v>22</v>
      </c>
      <c r="B222" s="19">
        <v>39464</v>
      </c>
      <c r="C222" s="20">
        <v>0.625</v>
      </c>
      <c r="D222" s="4" t="s">
        <v>42</v>
      </c>
      <c r="E222" s="18"/>
      <c r="F222" s="18"/>
      <c r="G222" s="5" t="s">
        <v>2</v>
      </c>
      <c r="H222" s="21"/>
    </row>
    <row r="223" spans="1:8" ht="12.75" customHeight="1">
      <c r="A223" s="3">
        <f>A213+1</f>
        <v>23</v>
      </c>
      <c r="B223" s="19">
        <v>39474</v>
      </c>
      <c r="C223" s="20">
        <v>0.8229166666666666</v>
      </c>
      <c r="D223" s="4" t="s">
        <v>42</v>
      </c>
      <c r="E223" s="18"/>
      <c r="F223" s="18"/>
      <c r="G223" s="5" t="s">
        <v>46</v>
      </c>
      <c r="H223" s="21"/>
    </row>
    <row r="224" spans="1:8" ht="12.75" customHeight="1">
      <c r="A224" s="3">
        <f aca="true" t="shared" si="21" ref="A224:A232">A214+1</f>
        <v>23</v>
      </c>
      <c r="B224" s="19">
        <v>39474</v>
      </c>
      <c r="C224" s="20">
        <v>0.8229166666666666</v>
      </c>
      <c r="D224" s="4" t="s">
        <v>52</v>
      </c>
      <c r="E224" s="18"/>
      <c r="F224" s="18"/>
      <c r="G224" s="5" t="s">
        <v>39</v>
      </c>
      <c r="H224" s="21"/>
    </row>
    <row r="225" spans="1:8" ht="12.75" customHeight="1">
      <c r="A225" s="3">
        <f t="shared" si="21"/>
        <v>23</v>
      </c>
      <c r="B225" s="19">
        <v>39474</v>
      </c>
      <c r="C225" s="20">
        <v>0.8229166666666666</v>
      </c>
      <c r="D225" s="4" t="s">
        <v>1</v>
      </c>
      <c r="E225" s="18"/>
      <c r="F225" s="18"/>
      <c r="G225" s="5" t="s">
        <v>3</v>
      </c>
      <c r="H225" s="21"/>
    </row>
    <row r="226" spans="1:8" ht="12.75" customHeight="1">
      <c r="A226" s="3">
        <f t="shared" si="21"/>
        <v>23</v>
      </c>
      <c r="B226" s="19">
        <v>39474</v>
      </c>
      <c r="C226" s="20">
        <v>0.8229166666666666</v>
      </c>
      <c r="D226" s="4" t="s">
        <v>54</v>
      </c>
      <c r="E226" s="18"/>
      <c r="F226" s="18"/>
      <c r="G226" s="5" t="s">
        <v>45</v>
      </c>
      <c r="H226" s="21"/>
    </row>
    <row r="227" spans="1:8" ht="12.75" customHeight="1">
      <c r="A227" s="3">
        <f t="shared" si="21"/>
        <v>23</v>
      </c>
      <c r="B227" s="19">
        <v>39474</v>
      </c>
      <c r="C227" s="20">
        <v>0.8229166666666666</v>
      </c>
      <c r="D227" s="4" t="s">
        <v>2</v>
      </c>
      <c r="E227" s="18"/>
      <c r="F227" s="18"/>
      <c r="G227" s="5" t="s">
        <v>50</v>
      </c>
      <c r="H227" s="21"/>
    </row>
    <row r="228" spans="1:8" ht="12.75" customHeight="1">
      <c r="A228" s="3">
        <f t="shared" si="21"/>
        <v>23</v>
      </c>
      <c r="B228" s="19">
        <v>39474</v>
      </c>
      <c r="C228" s="20">
        <v>0.8229166666666666</v>
      </c>
      <c r="D228" s="4" t="s">
        <v>43</v>
      </c>
      <c r="E228" s="18"/>
      <c r="F228" s="18"/>
      <c r="G228" s="5" t="s">
        <v>40</v>
      </c>
      <c r="H228" s="21"/>
    </row>
    <row r="229" spans="1:8" ht="12.75" customHeight="1">
      <c r="A229" s="3">
        <f t="shared" si="21"/>
        <v>23</v>
      </c>
      <c r="B229" s="19">
        <v>39475</v>
      </c>
      <c r="C229" s="20">
        <v>0.8229166666666666</v>
      </c>
      <c r="D229" s="4" t="s">
        <v>51</v>
      </c>
      <c r="E229" s="18"/>
      <c r="F229" s="18"/>
      <c r="G229" s="5" t="s">
        <v>0</v>
      </c>
      <c r="H229" s="21"/>
    </row>
    <row r="230" spans="1:8" ht="12.75" customHeight="1">
      <c r="A230" s="3">
        <f t="shared" si="21"/>
        <v>23</v>
      </c>
      <c r="B230" s="19">
        <v>39475</v>
      </c>
      <c r="C230" s="20">
        <v>0.8229166666666666</v>
      </c>
      <c r="D230" s="4" t="s">
        <v>53</v>
      </c>
      <c r="E230" s="18"/>
      <c r="F230" s="18"/>
      <c r="G230" s="5" t="s">
        <v>41</v>
      </c>
      <c r="H230" s="21"/>
    </row>
    <row r="231" spans="1:8" ht="12.75" customHeight="1">
      <c r="A231" s="3">
        <f t="shared" si="21"/>
        <v>23</v>
      </c>
      <c r="B231" s="19">
        <v>39475</v>
      </c>
      <c r="C231" s="20">
        <v>0.8229166666666666</v>
      </c>
      <c r="D231" s="4" t="s">
        <v>48</v>
      </c>
      <c r="E231" s="18"/>
      <c r="F231" s="18"/>
      <c r="G231" s="5" t="s">
        <v>47</v>
      </c>
      <c r="H231" s="21"/>
    </row>
    <row r="232" spans="1:8" ht="12.75" customHeight="1">
      <c r="A232" s="3">
        <f t="shared" si="21"/>
        <v>23</v>
      </c>
      <c r="B232" s="19">
        <v>39475</v>
      </c>
      <c r="C232" s="20">
        <v>0.8229166666666666</v>
      </c>
      <c r="D232" s="4" t="s">
        <v>49</v>
      </c>
      <c r="E232" s="18"/>
      <c r="F232" s="18"/>
      <c r="G232" s="5" t="s">
        <v>44</v>
      </c>
      <c r="H232" s="21"/>
    </row>
    <row r="233" spans="1:8" ht="12.75" customHeight="1">
      <c r="A233" s="3">
        <f>A223+1</f>
        <v>24</v>
      </c>
      <c r="B233" s="19">
        <v>39478</v>
      </c>
      <c r="C233" s="20">
        <v>0.625</v>
      </c>
      <c r="D233" s="4" t="s">
        <v>44</v>
      </c>
      <c r="E233" s="18"/>
      <c r="F233" s="18"/>
      <c r="G233" s="5" t="s">
        <v>42</v>
      </c>
      <c r="H233" s="21"/>
    </row>
    <row r="234" spans="1:8" ht="12.75" customHeight="1">
      <c r="A234" s="3">
        <f aca="true" t="shared" si="22" ref="A234:A242">A224+1</f>
        <v>24</v>
      </c>
      <c r="B234" s="19">
        <v>39478</v>
      </c>
      <c r="C234" s="20">
        <v>0.625</v>
      </c>
      <c r="D234" s="4" t="s">
        <v>41</v>
      </c>
      <c r="E234" s="18"/>
      <c r="F234" s="18"/>
      <c r="G234" s="5" t="s">
        <v>49</v>
      </c>
      <c r="H234" s="21"/>
    </row>
    <row r="235" spans="1:8" ht="12.75" customHeight="1">
      <c r="A235" s="3">
        <f t="shared" si="22"/>
        <v>24</v>
      </c>
      <c r="B235" s="19">
        <v>39478</v>
      </c>
      <c r="C235" s="20">
        <v>0.625</v>
      </c>
      <c r="D235" s="4" t="s">
        <v>0</v>
      </c>
      <c r="E235" s="18"/>
      <c r="F235" s="18"/>
      <c r="G235" s="5" t="s">
        <v>43</v>
      </c>
      <c r="H235" s="21"/>
    </row>
    <row r="236" spans="1:8" ht="12.75" customHeight="1">
      <c r="A236" s="3">
        <f t="shared" si="22"/>
        <v>24</v>
      </c>
      <c r="B236" s="19">
        <v>39478</v>
      </c>
      <c r="C236" s="20">
        <v>0.625</v>
      </c>
      <c r="D236" s="4" t="s">
        <v>50</v>
      </c>
      <c r="E236" s="18"/>
      <c r="F236" s="18"/>
      <c r="G236" s="5" t="s">
        <v>54</v>
      </c>
      <c r="H236" s="21"/>
    </row>
    <row r="237" spans="1:8" ht="12.75" customHeight="1">
      <c r="A237" s="3">
        <f t="shared" si="22"/>
        <v>24</v>
      </c>
      <c r="B237" s="19">
        <v>39478</v>
      </c>
      <c r="C237" s="20">
        <v>0.625</v>
      </c>
      <c r="D237" s="4" t="s">
        <v>40</v>
      </c>
      <c r="E237" s="18"/>
      <c r="F237" s="18"/>
      <c r="G237" s="5" t="s">
        <v>2</v>
      </c>
      <c r="H237" s="21"/>
    </row>
    <row r="238" spans="1:8" ht="12.75" customHeight="1">
      <c r="A238" s="3">
        <f t="shared" si="22"/>
        <v>24</v>
      </c>
      <c r="B238" s="19">
        <v>39478</v>
      </c>
      <c r="C238" s="20">
        <v>0.625</v>
      </c>
      <c r="D238" s="4" t="s">
        <v>47</v>
      </c>
      <c r="E238" s="18"/>
      <c r="F238" s="18"/>
      <c r="G238" s="5" t="s">
        <v>52</v>
      </c>
      <c r="H238" s="21"/>
    </row>
    <row r="239" spans="1:8" ht="12.75" customHeight="1">
      <c r="A239" s="3">
        <f t="shared" si="22"/>
        <v>24</v>
      </c>
      <c r="B239" s="19">
        <v>39478</v>
      </c>
      <c r="C239" s="20">
        <v>0.625</v>
      </c>
      <c r="D239" s="4" t="s">
        <v>45</v>
      </c>
      <c r="E239" s="18"/>
      <c r="F239" s="18"/>
      <c r="G239" s="5" t="s">
        <v>53</v>
      </c>
      <c r="H239" s="21"/>
    </row>
    <row r="240" spans="1:8" ht="12.75" customHeight="1">
      <c r="A240" s="3">
        <f t="shared" si="22"/>
        <v>24</v>
      </c>
      <c r="B240" s="19">
        <v>39478</v>
      </c>
      <c r="C240" s="20">
        <v>0.625</v>
      </c>
      <c r="D240" s="4" t="s">
        <v>3</v>
      </c>
      <c r="E240" s="18"/>
      <c r="F240" s="18"/>
      <c r="G240" s="5" t="s">
        <v>48</v>
      </c>
      <c r="H240" s="21"/>
    </row>
    <row r="241" spans="1:8" ht="12.75" customHeight="1">
      <c r="A241" s="3">
        <f t="shared" si="22"/>
        <v>24</v>
      </c>
      <c r="B241" s="19">
        <v>39478</v>
      </c>
      <c r="C241" s="20">
        <v>0.625</v>
      </c>
      <c r="D241" s="4" t="s">
        <v>39</v>
      </c>
      <c r="E241" s="18"/>
      <c r="F241" s="18"/>
      <c r="G241" s="5" t="s">
        <v>1</v>
      </c>
      <c r="H241" s="21"/>
    </row>
    <row r="242" spans="1:8" ht="12.75" customHeight="1">
      <c r="A242" s="3">
        <f t="shared" si="22"/>
        <v>24</v>
      </c>
      <c r="B242" s="19">
        <v>39478</v>
      </c>
      <c r="C242" s="20">
        <v>0.625</v>
      </c>
      <c r="D242" s="4" t="s">
        <v>46</v>
      </c>
      <c r="E242" s="18"/>
      <c r="F242" s="18"/>
      <c r="G242" s="5" t="s">
        <v>51</v>
      </c>
      <c r="H242" s="21"/>
    </row>
    <row r="243" spans="1:8" ht="12.75" customHeight="1">
      <c r="A243" s="3">
        <f>A233+1</f>
        <v>25</v>
      </c>
      <c r="B243" s="19">
        <v>39485</v>
      </c>
      <c r="C243" s="20">
        <v>0.625</v>
      </c>
      <c r="D243" s="4" t="s">
        <v>2</v>
      </c>
      <c r="E243" s="18"/>
      <c r="F243" s="18"/>
      <c r="G243" s="5" t="s">
        <v>45</v>
      </c>
      <c r="H243" s="21"/>
    </row>
    <row r="244" spans="1:8" ht="12.75" customHeight="1">
      <c r="A244" s="3">
        <f aca="true" t="shared" si="23" ref="A244:A252">A234+1</f>
        <v>25</v>
      </c>
      <c r="B244" s="19">
        <v>39485</v>
      </c>
      <c r="C244" s="20">
        <v>0.625</v>
      </c>
      <c r="D244" s="4" t="s">
        <v>48</v>
      </c>
      <c r="E244" s="18"/>
      <c r="F244" s="18"/>
      <c r="G244" s="5" t="s">
        <v>44</v>
      </c>
      <c r="H244" s="21"/>
    </row>
    <row r="245" spans="1:8" ht="12.75" customHeight="1">
      <c r="A245" s="3">
        <f t="shared" si="23"/>
        <v>25</v>
      </c>
      <c r="B245" s="19">
        <v>39485</v>
      </c>
      <c r="C245" s="20">
        <v>0.625</v>
      </c>
      <c r="D245" s="4" t="s">
        <v>54</v>
      </c>
      <c r="E245" s="18"/>
      <c r="F245" s="18"/>
      <c r="G245" s="5" t="s">
        <v>40</v>
      </c>
      <c r="H245" s="21"/>
    </row>
    <row r="246" spans="1:8" ht="12.75" customHeight="1">
      <c r="A246" s="3">
        <f t="shared" si="23"/>
        <v>25</v>
      </c>
      <c r="B246" s="19">
        <v>39485</v>
      </c>
      <c r="C246" s="20">
        <v>0.625</v>
      </c>
      <c r="D246" s="4" t="s">
        <v>51</v>
      </c>
      <c r="E246" s="18"/>
      <c r="F246" s="18"/>
      <c r="G246" s="5" t="s">
        <v>41</v>
      </c>
      <c r="H246" s="21"/>
    </row>
    <row r="247" spans="1:8" ht="12.75" customHeight="1">
      <c r="A247" s="3">
        <f t="shared" si="23"/>
        <v>25</v>
      </c>
      <c r="B247" s="19">
        <v>39485</v>
      </c>
      <c r="C247" s="20">
        <v>0.625</v>
      </c>
      <c r="D247" s="4" t="s">
        <v>52</v>
      </c>
      <c r="E247" s="18"/>
      <c r="F247" s="18"/>
      <c r="G247" s="5" t="s">
        <v>3</v>
      </c>
      <c r="H247" s="21"/>
    </row>
    <row r="248" spans="1:8" ht="12.75" customHeight="1">
      <c r="A248" s="3">
        <f t="shared" si="23"/>
        <v>25</v>
      </c>
      <c r="B248" s="19">
        <v>39485</v>
      </c>
      <c r="C248" s="20">
        <v>0.625</v>
      </c>
      <c r="D248" s="4" t="s">
        <v>1</v>
      </c>
      <c r="E248" s="18"/>
      <c r="F248" s="18"/>
      <c r="G248" s="5" t="s">
        <v>0</v>
      </c>
      <c r="H248" s="21"/>
    </row>
    <row r="249" spans="1:8" ht="12.75" customHeight="1">
      <c r="A249" s="3">
        <f t="shared" si="23"/>
        <v>25</v>
      </c>
      <c r="B249" s="19">
        <v>39485</v>
      </c>
      <c r="C249" s="20">
        <v>0.625</v>
      </c>
      <c r="D249" s="4" t="s">
        <v>49</v>
      </c>
      <c r="E249" s="18"/>
      <c r="F249" s="18"/>
      <c r="G249" s="5" t="s">
        <v>50</v>
      </c>
      <c r="H249" s="21"/>
    </row>
    <row r="250" spans="1:8" ht="12.75" customHeight="1">
      <c r="A250" s="3">
        <f t="shared" si="23"/>
        <v>25</v>
      </c>
      <c r="B250" s="19">
        <v>39485</v>
      </c>
      <c r="C250" s="20">
        <v>0.625</v>
      </c>
      <c r="D250" s="4" t="s">
        <v>43</v>
      </c>
      <c r="E250" s="18"/>
      <c r="F250" s="18"/>
      <c r="G250" s="5" t="s">
        <v>46</v>
      </c>
      <c r="H250" s="21"/>
    </row>
    <row r="251" spans="1:8" ht="12.75" customHeight="1">
      <c r="A251" s="3">
        <f t="shared" si="23"/>
        <v>25</v>
      </c>
      <c r="B251" s="19">
        <v>39485</v>
      </c>
      <c r="C251" s="20">
        <v>0.625</v>
      </c>
      <c r="D251" s="4" t="s">
        <v>53</v>
      </c>
      <c r="E251" s="18"/>
      <c r="F251" s="18"/>
      <c r="G251" s="5" t="s">
        <v>39</v>
      </c>
      <c r="H251" s="21"/>
    </row>
    <row r="252" spans="1:8" ht="12.75" customHeight="1">
      <c r="A252" s="3">
        <f t="shared" si="23"/>
        <v>25</v>
      </c>
      <c r="B252" s="19">
        <v>39485</v>
      </c>
      <c r="C252" s="20">
        <v>0.625</v>
      </c>
      <c r="D252" s="4" t="s">
        <v>42</v>
      </c>
      <c r="E252" s="18"/>
      <c r="F252" s="18"/>
      <c r="G252" s="5" t="s">
        <v>47</v>
      </c>
      <c r="H252" s="21"/>
    </row>
    <row r="253" spans="1:8" ht="12.75" customHeight="1">
      <c r="A253" s="3">
        <f>A243+1</f>
        <v>26</v>
      </c>
      <c r="B253" s="19">
        <v>39499</v>
      </c>
      <c r="C253" s="20">
        <v>0.625</v>
      </c>
      <c r="D253" s="4" t="s">
        <v>39</v>
      </c>
      <c r="E253" s="18"/>
      <c r="F253" s="18"/>
      <c r="G253" s="5" t="s">
        <v>42</v>
      </c>
      <c r="H253" s="21"/>
    </row>
    <row r="254" spans="1:8" ht="12.75" customHeight="1">
      <c r="A254" s="3">
        <f aca="true" t="shared" si="24" ref="A254:A262">A244+1</f>
        <v>26</v>
      </c>
      <c r="B254" s="19">
        <v>39499</v>
      </c>
      <c r="C254" s="20">
        <v>0.625</v>
      </c>
      <c r="D254" s="4" t="s">
        <v>50</v>
      </c>
      <c r="E254" s="18"/>
      <c r="F254" s="18"/>
      <c r="G254" s="5" t="s">
        <v>53</v>
      </c>
      <c r="H254" s="21"/>
    </row>
    <row r="255" spans="1:8" ht="12.75" customHeight="1">
      <c r="A255" s="3">
        <f t="shared" si="24"/>
        <v>26</v>
      </c>
      <c r="B255" s="19">
        <v>39499</v>
      </c>
      <c r="C255" s="20">
        <v>0.625</v>
      </c>
      <c r="D255" s="4" t="s">
        <v>0</v>
      </c>
      <c r="E255" s="18"/>
      <c r="F255" s="18"/>
      <c r="G255" s="5" t="s">
        <v>48</v>
      </c>
      <c r="H255" s="21"/>
    </row>
    <row r="256" spans="1:8" ht="12.75" customHeight="1">
      <c r="A256" s="3">
        <f t="shared" si="24"/>
        <v>26</v>
      </c>
      <c r="B256" s="19">
        <v>39499</v>
      </c>
      <c r="C256" s="20">
        <v>0.625</v>
      </c>
      <c r="D256" s="4" t="s">
        <v>41</v>
      </c>
      <c r="E256" s="18"/>
      <c r="F256" s="18"/>
      <c r="G256" s="5" t="s">
        <v>54</v>
      </c>
      <c r="H256" s="21"/>
    </row>
    <row r="257" spans="1:8" ht="12.75" customHeight="1">
      <c r="A257" s="3">
        <f t="shared" si="24"/>
        <v>26</v>
      </c>
      <c r="B257" s="19">
        <v>39499</v>
      </c>
      <c r="C257" s="20">
        <v>0.625</v>
      </c>
      <c r="D257" s="4" t="s">
        <v>44</v>
      </c>
      <c r="E257" s="18"/>
      <c r="F257" s="18"/>
      <c r="G257" s="5" t="s">
        <v>52</v>
      </c>
      <c r="H257" s="21"/>
    </row>
    <row r="258" spans="1:8" ht="12.75" customHeight="1">
      <c r="A258" s="3">
        <f t="shared" si="24"/>
        <v>26</v>
      </c>
      <c r="B258" s="19">
        <v>39499</v>
      </c>
      <c r="C258" s="20">
        <v>0.625</v>
      </c>
      <c r="D258" s="4" t="s">
        <v>45</v>
      </c>
      <c r="E258" s="18"/>
      <c r="F258" s="18"/>
      <c r="G258" s="5" t="s">
        <v>51</v>
      </c>
      <c r="H258" s="21"/>
    </row>
    <row r="259" spans="1:8" ht="12.75" customHeight="1">
      <c r="A259" s="3">
        <f t="shared" si="24"/>
        <v>26</v>
      </c>
      <c r="B259" s="19">
        <v>39499</v>
      </c>
      <c r="C259" s="20">
        <v>0.625</v>
      </c>
      <c r="D259" s="4" t="s">
        <v>3</v>
      </c>
      <c r="E259" s="18"/>
      <c r="F259" s="18"/>
      <c r="G259" s="5" t="s">
        <v>49</v>
      </c>
      <c r="H259" s="21"/>
    </row>
    <row r="260" spans="1:8" ht="12.75" customHeight="1">
      <c r="A260" s="3">
        <f t="shared" si="24"/>
        <v>26</v>
      </c>
      <c r="B260" s="19">
        <v>39499</v>
      </c>
      <c r="C260" s="20">
        <v>0.625</v>
      </c>
      <c r="D260" s="4" t="s">
        <v>40</v>
      </c>
      <c r="E260" s="18"/>
      <c r="F260" s="18"/>
      <c r="G260" s="5" t="s">
        <v>1</v>
      </c>
      <c r="H260" s="21"/>
    </row>
    <row r="261" spans="1:8" ht="12.75" customHeight="1">
      <c r="A261" s="3">
        <f t="shared" si="24"/>
        <v>26</v>
      </c>
      <c r="B261" s="19">
        <v>39499</v>
      </c>
      <c r="C261" s="20">
        <v>0.625</v>
      </c>
      <c r="D261" s="4" t="s">
        <v>47</v>
      </c>
      <c r="E261" s="18"/>
      <c r="F261" s="18"/>
      <c r="G261" s="5" t="s">
        <v>43</v>
      </c>
      <c r="H261" s="21"/>
    </row>
    <row r="262" spans="1:8" ht="12.75" customHeight="1">
      <c r="A262" s="3">
        <f t="shared" si="24"/>
        <v>26</v>
      </c>
      <c r="B262" s="19">
        <v>39499</v>
      </c>
      <c r="C262" s="20">
        <v>0.625</v>
      </c>
      <c r="D262" s="4" t="s">
        <v>46</v>
      </c>
      <c r="E262" s="18"/>
      <c r="F262" s="18"/>
      <c r="G262" s="5" t="s">
        <v>2</v>
      </c>
      <c r="H262" s="21"/>
    </row>
    <row r="263" spans="1:8" ht="12.75" customHeight="1">
      <c r="A263" s="3">
        <f>A253+1</f>
        <v>27</v>
      </c>
      <c r="B263" s="19">
        <v>39506</v>
      </c>
      <c r="C263" s="20">
        <v>0.625</v>
      </c>
      <c r="D263" s="4" t="s">
        <v>47</v>
      </c>
      <c r="E263" s="18"/>
      <c r="F263" s="18"/>
      <c r="G263" s="5" t="s">
        <v>40</v>
      </c>
      <c r="H263" s="21"/>
    </row>
    <row r="264" spans="1:8" ht="12.75" customHeight="1">
      <c r="A264" s="3">
        <f aca="true" t="shared" si="25" ref="A264:A272">A254+1</f>
        <v>27</v>
      </c>
      <c r="B264" s="19">
        <v>39506</v>
      </c>
      <c r="C264" s="20">
        <v>0.625</v>
      </c>
      <c r="D264" s="4" t="s">
        <v>43</v>
      </c>
      <c r="E264" s="18"/>
      <c r="F264" s="18"/>
      <c r="G264" s="5" t="s">
        <v>42</v>
      </c>
      <c r="H264" s="21"/>
    </row>
    <row r="265" spans="1:8" ht="12.75" customHeight="1">
      <c r="A265" s="3">
        <f t="shared" si="25"/>
        <v>27</v>
      </c>
      <c r="B265" s="19">
        <v>39506</v>
      </c>
      <c r="C265" s="20">
        <v>0.625</v>
      </c>
      <c r="D265" s="4" t="s">
        <v>48</v>
      </c>
      <c r="E265" s="18"/>
      <c r="F265" s="18"/>
      <c r="G265" s="5" t="s">
        <v>1</v>
      </c>
      <c r="H265" s="21"/>
    </row>
    <row r="266" spans="1:8" ht="12.75" customHeight="1">
      <c r="A266" s="3">
        <f t="shared" si="25"/>
        <v>27</v>
      </c>
      <c r="B266" s="19">
        <v>39506</v>
      </c>
      <c r="C266" s="20">
        <v>0.625</v>
      </c>
      <c r="D266" s="4" t="s">
        <v>39</v>
      </c>
      <c r="E266" s="18"/>
      <c r="F266" s="18"/>
      <c r="G266" s="5" t="s">
        <v>49</v>
      </c>
      <c r="H266" s="21"/>
    </row>
    <row r="267" spans="1:8" ht="12.75" customHeight="1">
      <c r="A267" s="3">
        <f t="shared" si="25"/>
        <v>27</v>
      </c>
      <c r="B267" s="19">
        <v>39506</v>
      </c>
      <c r="C267" s="20">
        <v>0.625</v>
      </c>
      <c r="D267" s="4" t="s">
        <v>53</v>
      </c>
      <c r="E267" s="18"/>
      <c r="F267" s="18"/>
      <c r="G267" s="5" t="s">
        <v>54</v>
      </c>
      <c r="H267" s="21"/>
    </row>
    <row r="268" spans="1:8" ht="12.75" customHeight="1">
      <c r="A268" s="3">
        <f t="shared" si="25"/>
        <v>27</v>
      </c>
      <c r="B268" s="19">
        <v>39506</v>
      </c>
      <c r="C268" s="20">
        <v>0.625</v>
      </c>
      <c r="D268" s="4" t="s">
        <v>52</v>
      </c>
      <c r="E268" s="18"/>
      <c r="F268" s="18"/>
      <c r="G268" s="5" t="s">
        <v>51</v>
      </c>
      <c r="H268" s="21"/>
    </row>
    <row r="269" spans="1:8" ht="12.75" customHeight="1">
      <c r="A269" s="3">
        <f t="shared" si="25"/>
        <v>27</v>
      </c>
      <c r="B269" s="19">
        <v>39506</v>
      </c>
      <c r="C269" s="20">
        <v>0.625</v>
      </c>
      <c r="D269" s="4" t="s">
        <v>44</v>
      </c>
      <c r="E269" s="18"/>
      <c r="F269" s="18"/>
      <c r="G269" s="5" t="s">
        <v>0</v>
      </c>
      <c r="H269" s="21"/>
    </row>
    <row r="270" spans="1:8" ht="12.75" customHeight="1">
      <c r="A270" s="3">
        <f t="shared" si="25"/>
        <v>27</v>
      </c>
      <c r="B270" s="19">
        <v>39506</v>
      </c>
      <c r="C270" s="20">
        <v>0.625</v>
      </c>
      <c r="D270" s="4" t="s">
        <v>3</v>
      </c>
      <c r="E270" s="18"/>
      <c r="F270" s="18"/>
      <c r="G270" s="5" t="s">
        <v>2</v>
      </c>
      <c r="H270" s="21"/>
    </row>
    <row r="271" spans="1:8" ht="12.75" customHeight="1">
      <c r="A271" s="3">
        <f t="shared" si="25"/>
        <v>27</v>
      </c>
      <c r="B271" s="19">
        <v>39506</v>
      </c>
      <c r="C271" s="20">
        <v>0.625</v>
      </c>
      <c r="D271" s="4" t="s">
        <v>41</v>
      </c>
      <c r="E271" s="18"/>
      <c r="F271" s="18"/>
      <c r="G271" s="5" t="s">
        <v>45</v>
      </c>
      <c r="H271" s="21"/>
    </row>
    <row r="272" spans="1:8" ht="12.75" customHeight="1">
      <c r="A272" s="3">
        <f t="shared" si="25"/>
        <v>27</v>
      </c>
      <c r="B272" s="19">
        <v>39506</v>
      </c>
      <c r="C272" s="20">
        <v>0.625</v>
      </c>
      <c r="D272" s="4" t="s">
        <v>50</v>
      </c>
      <c r="E272" s="18"/>
      <c r="F272" s="18"/>
      <c r="G272" s="5" t="s">
        <v>46</v>
      </c>
      <c r="H272" s="21"/>
    </row>
    <row r="273" spans="1:8" ht="12.75" customHeight="1">
      <c r="A273" s="3">
        <f>A263+1</f>
        <v>28</v>
      </c>
      <c r="B273" s="19">
        <v>39510</v>
      </c>
      <c r="C273" s="20">
        <v>0.8229166666666666</v>
      </c>
      <c r="D273" s="4" t="s">
        <v>1</v>
      </c>
      <c r="E273" s="18"/>
      <c r="F273" s="18"/>
      <c r="G273" s="5" t="s">
        <v>47</v>
      </c>
      <c r="H273" s="21"/>
    </row>
    <row r="274" spans="1:8" ht="12.75" customHeight="1">
      <c r="A274" s="3">
        <f aca="true" t="shared" si="26" ref="A274:A282">A264+1</f>
        <v>28</v>
      </c>
      <c r="B274" s="19">
        <v>39510</v>
      </c>
      <c r="C274" s="20">
        <v>0.8229166666666666</v>
      </c>
      <c r="D274" s="4" t="s">
        <v>2</v>
      </c>
      <c r="E274" s="18"/>
      <c r="F274" s="18"/>
      <c r="G274" s="5" t="s">
        <v>53</v>
      </c>
      <c r="H274" s="21"/>
    </row>
    <row r="275" spans="1:8" ht="12.75" customHeight="1">
      <c r="A275" s="3">
        <f t="shared" si="26"/>
        <v>28</v>
      </c>
      <c r="B275" s="19">
        <v>39510</v>
      </c>
      <c r="C275" s="20">
        <v>0.8229166666666666</v>
      </c>
      <c r="D275" s="4" t="s">
        <v>54</v>
      </c>
      <c r="E275" s="18"/>
      <c r="F275" s="18"/>
      <c r="G275" s="5" t="s">
        <v>52</v>
      </c>
      <c r="H275" s="21"/>
    </row>
    <row r="276" spans="1:8" ht="12.75" customHeight="1">
      <c r="A276" s="3">
        <f t="shared" si="26"/>
        <v>28</v>
      </c>
      <c r="B276" s="19">
        <v>39510</v>
      </c>
      <c r="C276" s="20">
        <v>0.8229166666666666</v>
      </c>
      <c r="D276" s="4" t="s">
        <v>46</v>
      </c>
      <c r="E276" s="18"/>
      <c r="F276" s="18"/>
      <c r="G276" s="5" t="s">
        <v>44</v>
      </c>
      <c r="H276" s="21"/>
    </row>
    <row r="277" spans="1:8" ht="12.75" customHeight="1">
      <c r="A277" s="3">
        <f t="shared" si="26"/>
        <v>28</v>
      </c>
      <c r="B277" s="19">
        <v>39510</v>
      </c>
      <c r="C277" s="20">
        <v>0.8229166666666666</v>
      </c>
      <c r="D277" s="4" t="s">
        <v>42</v>
      </c>
      <c r="E277" s="18"/>
      <c r="F277" s="18"/>
      <c r="G277" s="5" t="s">
        <v>41</v>
      </c>
      <c r="H277" s="21"/>
    </row>
    <row r="278" spans="1:8" ht="12.75" customHeight="1">
      <c r="A278" s="3">
        <f t="shared" si="26"/>
        <v>28</v>
      </c>
      <c r="B278" s="19">
        <v>39511</v>
      </c>
      <c r="C278" s="20">
        <v>0.8229166666666666</v>
      </c>
      <c r="D278" s="4" t="s">
        <v>45</v>
      </c>
      <c r="E278" s="18"/>
      <c r="F278" s="18"/>
      <c r="G278" s="5" t="s">
        <v>43</v>
      </c>
      <c r="H278" s="21"/>
    </row>
    <row r="279" spans="1:8" ht="12.75" customHeight="1">
      <c r="A279" s="3">
        <f t="shared" si="26"/>
        <v>28</v>
      </c>
      <c r="B279" s="19">
        <v>39511</v>
      </c>
      <c r="C279" s="20">
        <v>0.8229166666666666</v>
      </c>
      <c r="D279" s="4" t="s">
        <v>51</v>
      </c>
      <c r="E279" s="18"/>
      <c r="F279" s="18"/>
      <c r="G279" s="5" t="s">
        <v>50</v>
      </c>
      <c r="H279" s="21"/>
    </row>
    <row r="280" spans="1:8" ht="12.75" customHeight="1">
      <c r="A280" s="3">
        <f t="shared" si="26"/>
        <v>28</v>
      </c>
      <c r="B280" s="19">
        <v>39511</v>
      </c>
      <c r="C280" s="20">
        <v>0.8229166666666666</v>
      </c>
      <c r="D280" s="4" t="s">
        <v>49</v>
      </c>
      <c r="E280" s="18"/>
      <c r="F280" s="18"/>
      <c r="G280" s="5" t="s">
        <v>48</v>
      </c>
      <c r="H280" s="21"/>
    </row>
    <row r="281" spans="1:8" ht="12.75" customHeight="1">
      <c r="A281" s="3">
        <f t="shared" si="26"/>
        <v>28</v>
      </c>
      <c r="B281" s="19">
        <v>39511</v>
      </c>
      <c r="C281" s="20">
        <v>0.8229166666666666</v>
      </c>
      <c r="D281" s="4" t="s">
        <v>0</v>
      </c>
      <c r="E281" s="18"/>
      <c r="F281" s="18"/>
      <c r="G281" s="5" t="s">
        <v>3</v>
      </c>
      <c r="H281" s="21"/>
    </row>
    <row r="282" spans="1:8" ht="12.75" customHeight="1">
      <c r="A282" s="3">
        <f t="shared" si="26"/>
        <v>28</v>
      </c>
      <c r="B282" s="19">
        <v>39511</v>
      </c>
      <c r="C282" s="20">
        <v>0.8229166666666666</v>
      </c>
      <c r="D282" s="4" t="s">
        <v>40</v>
      </c>
      <c r="E282" s="18"/>
      <c r="F282" s="18"/>
      <c r="G282" s="5" t="s">
        <v>39</v>
      </c>
      <c r="H282" s="21"/>
    </row>
    <row r="283" spans="1:8" ht="12.75" customHeight="1">
      <c r="A283" s="3">
        <f>A273+1</f>
        <v>29</v>
      </c>
      <c r="B283" s="19">
        <v>39521</v>
      </c>
      <c r="C283" s="20">
        <v>0.625</v>
      </c>
      <c r="D283" s="4" t="s">
        <v>48</v>
      </c>
      <c r="E283" s="18"/>
      <c r="F283" s="18"/>
      <c r="G283" s="5" t="s">
        <v>46</v>
      </c>
      <c r="H283" s="21"/>
    </row>
    <row r="284" spans="1:8" ht="12.75" customHeight="1">
      <c r="A284" s="3">
        <f aca="true" t="shared" si="27" ref="A284:A292">A274+1</f>
        <v>29</v>
      </c>
      <c r="B284" s="19">
        <v>39521</v>
      </c>
      <c r="C284" s="20">
        <v>0.625</v>
      </c>
      <c r="D284" s="4" t="s">
        <v>50</v>
      </c>
      <c r="E284" s="18"/>
      <c r="F284" s="18"/>
      <c r="G284" s="5" t="s">
        <v>42</v>
      </c>
      <c r="H284" s="21"/>
    </row>
    <row r="285" spans="1:8" ht="12.75" customHeight="1">
      <c r="A285" s="3">
        <f t="shared" si="27"/>
        <v>29</v>
      </c>
      <c r="B285" s="19">
        <v>39521</v>
      </c>
      <c r="C285" s="20">
        <v>0.625</v>
      </c>
      <c r="D285" s="4" t="s">
        <v>47</v>
      </c>
      <c r="E285" s="18"/>
      <c r="F285" s="18"/>
      <c r="G285" s="5" t="s">
        <v>49</v>
      </c>
      <c r="H285" s="21"/>
    </row>
    <row r="286" spans="1:8" ht="12.75" customHeight="1">
      <c r="A286" s="3">
        <f t="shared" si="27"/>
        <v>29</v>
      </c>
      <c r="B286" s="19">
        <v>39521</v>
      </c>
      <c r="C286" s="20">
        <v>0.625</v>
      </c>
      <c r="D286" s="4" t="s">
        <v>43</v>
      </c>
      <c r="E286" s="18"/>
      <c r="F286" s="18"/>
      <c r="G286" s="5" t="s">
        <v>54</v>
      </c>
      <c r="H286" s="21"/>
    </row>
    <row r="287" spans="1:8" ht="12.75" customHeight="1">
      <c r="A287" s="3">
        <f t="shared" si="27"/>
        <v>29</v>
      </c>
      <c r="B287" s="19">
        <v>39521</v>
      </c>
      <c r="C287" s="20">
        <v>0.625</v>
      </c>
      <c r="D287" s="4" t="s">
        <v>39</v>
      </c>
      <c r="E287" s="18"/>
      <c r="F287" s="18"/>
      <c r="G287" s="5" t="s">
        <v>0</v>
      </c>
      <c r="H287" s="21"/>
    </row>
    <row r="288" spans="1:8" ht="12.75" customHeight="1">
      <c r="A288" s="3">
        <f t="shared" si="27"/>
        <v>29</v>
      </c>
      <c r="B288" s="19">
        <v>39521</v>
      </c>
      <c r="C288" s="20">
        <v>0.625</v>
      </c>
      <c r="D288" s="4" t="s">
        <v>3</v>
      </c>
      <c r="E288" s="18"/>
      <c r="F288" s="18"/>
      <c r="G288" s="5" t="s">
        <v>45</v>
      </c>
      <c r="H288" s="21"/>
    </row>
    <row r="289" spans="1:8" ht="12.75" customHeight="1">
      <c r="A289" s="3">
        <f t="shared" si="27"/>
        <v>29</v>
      </c>
      <c r="B289" s="19">
        <v>39521</v>
      </c>
      <c r="C289" s="20">
        <v>0.625</v>
      </c>
      <c r="D289" s="4" t="s">
        <v>52</v>
      </c>
      <c r="E289" s="18"/>
      <c r="F289" s="18"/>
      <c r="G289" s="5" t="s">
        <v>1</v>
      </c>
      <c r="H289" s="21"/>
    </row>
    <row r="290" spans="1:8" ht="12.75" customHeight="1">
      <c r="A290" s="3">
        <f t="shared" si="27"/>
        <v>29</v>
      </c>
      <c r="B290" s="19">
        <v>39521</v>
      </c>
      <c r="C290" s="20">
        <v>0.625</v>
      </c>
      <c r="D290" s="4" t="s">
        <v>44</v>
      </c>
      <c r="E290" s="18"/>
      <c r="F290" s="18"/>
      <c r="G290" s="5" t="s">
        <v>40</v>
      </c>
      <c r="H290" s="21"/>
    </row>
    <row r="291" spans="1:8" ht="12.75" customHeight="1">
      <c r="A291" s="3">
        <f t="shared" si="27"/>
        <v>29</v>
      </c>
      <c r="B291" s="19">
        <v>39521</v>
      </c>
      <c r="C291" s="20">
        <v>0.625</v>
      </c>
      <c r="D291" s="4" t="s">
        <v>41</v>
      </c>
      <c r="E291" s="18"/>
      <c r="F291" s="18"/>
      <c r="G291" s="5" t="s">
        <v>2</v>
      </c>
      <c r="H291" s="21"/>
    </row>
    <row r="292" spans="1:8" ht="12.75" customHeight="1">
      <c r="A292" s="3">
        <f t="shared" si="27"/>
        <v>29</v>
      </c>
      <c r="B292" s="19">
        <v>39521</v>
      </c>
      <c r="C292" s="20">
        <v>0.625</v>
      </c>
      <c r="D292" s="4" t="s">
        <v>53</v>
      </c>
      <c r="E292" s="18"/>
      <c r="F292" s="18"/>
      <c r="G292" s="5" t="s">
        <v>51</v>
      </c>
      <c r="H292" s="21"/>
    </row>
    <row r="293" spans="1:8" ht="12.75" customHeight="1">
      <c r="A293" s="3">
        <f>A283+1</f>
        <v>30</v>
      </c>
      <c r="B293" s="19">
        <v>39528</v>
      </c>
      <c r="C293" s="20">
        <v>0.625</v>
      </c>
      <c r="D293" s="4" t="s">
        <v>49</v>
      </c>
      <c r="E293" s="18"/>
      <c r="F293" s="18"/>
      <c r="G293" s="5" t="s">
        <v>52</v>
      </c>
      <c r="H293" s="21"/>
    </row>
    <row r="294" spans="1:8" ht="12.75" customHeight="1">
      <c r="A294" s="3">
        <f aca="true" t="shared" si="28" ref="A294:A302">A284+1</f>
        <v>30</v>
      </c>
      <c r="B294" s="19">
        <v>39528</v>
      </c>
      <c r="C294" s="20">
        <v>0.625</v>
      </c>
      <c r="D294" s="4" t="s">
        <v>54</v>
      </c>
      <c r="E294" s="18"/>
      <c r="F294" s="18"/>
      <c r="G294" s="5" t="s">
        <v>39</v>
      </c>
      <c r="H294" s="21"/>
    </row>
    <row r="295" spans="1:8" ht="12.75" customHeight="1">
      <c r="A295" s="3">
        <f t="shared" si="28"/>
        <v>30</v>
      </c>
      <c r="B295" s="19">
        <v>39528</v>
      </c>
      <c r="C295" s="20">
        <v>0.625</v>
      </c>
      <c r="D295" s="4" t="s">
        <v>1</v>
      </c>
      <c r="E295" s="18"/>
      <c r="F295" s="18"/>
      <c r="G295" s="5" t="s">
        <v>44</v>
      </c>
      <c r="H295" s="21"/>
    </row>
    <row r="296" spans="1:8" ht="12.75" customHeight="1">
      <c r="A296" s="3">
        <f t="shared" si="28"/>
        <v>30</v>
      </c>
      <c r="B296" s="19">
        <v>39528</v>
      </c>
      <c r="C296" s="20">
        <v>0.625</v>
      </c>
      <c r="D296" s="4" t="s">
        <v>40</v>
      </c>
      <c r="E296" s="18"/>
      <c r="F296" s="18"/>
      <c r="G296" s="5" t="s">
        <v>3</v>
      </c>
      <c r="H296" s="21"/>
    </row>
    <row r="297" spans="1:8" ht="12.75" customHeight="1">
      <c r="A297" s="3">
        <f t="shared" si="28"/>
        <v>30</v>
      </c>
      <c r="B297" s="19">
        <v>39528</v>
      </c>
      <c r="C297" s="20">
        <v>0.625</v>
      </c>
      <c r="D297" s="4" t="s">
        <v>0</v>
      </c>
      <c r="E297" s="18"/>
      <c r="F297" s="18"/>
      <c r="G297" s="5" t="s">
        <v>47</v>
      </c>
      <c r="H297" s="21"/>
    </row>
    <row r="298" spans="1:8" ht="12.75" customHeight="1">
      <c r="A298" s="3">
        <f t="shared" si="28"/>
        <v>30</v>
      </c>
      <c r="B298" s="19">
        <v>39528</v>
      </c>
      <c r="C298" s="20">
        <v>0.625</v>
      </c>
      <c r="D298" s="4" t="s">
        <v>46</v>
      </c>
      <c r="E298" s="18"/>
      <c r="F298" s="18"/>
      <c r="G298" s="5" t="s">
        <v>41</v>
      </c>
      <c r="H298" s="21"/>
    </row>
    <row r="299" spans="1:8" ht="12.75" customHeight="1">
      <c r="A299" s="3">
        <f t="shared" si="28"/>
        <v>30</v>
      </c>
      <c r="B299" s="19">
        <v>39528</v>
      </c>
      <c r="C299" s="20">
        <v>0.625</v>
      </c>
      <c r="D299" s="4" t="s">
        <v>45</v>
      </c>
      <c r="E299" s="18"/>
      <c r="F299" s="18"/>
      <c r="G299" s="5" t="s">
        <v>50</v>
      </c>
      <c r="H299" s="21"/>
    </row>
    <row r="300" spans="1:8" ht="12.75" customHeight="1">
      <c r="A300" s="3">
        <f t="shared" si="28"/>
        <v>30</v>
      </c>
      <c r="B300" s="19">
        <v>39528</v>
      </c>
      <c r="C300" s="20">
        <v>0.625</v>
      </c>
      <c r="D300" s="4" t="s">
        <v>2</v>
      </c>
      <c r="E300" s="18"/>
      <c r="F300" s="18"/>
      <c r="G300" s="5" t="s">
        <v>48</v>
      </c>
      <c r="H300" s="21"/>
    </row>
    <row r="301" spans="1:8" ht="12.75" customHeight="1">
      <c r="A301" s="3">
        <f t="shared" si="28"/>
        <v>30</v>
      </c>
      <c r="B301" s="19">
        <v>39528</v>
      </c>
      <c r="C301" s="20">
        <v>0.625</v>
      </c>
      <c r="D301" s="4" t="s">
        <v>42</v>
      </c>
      <c r="E301" s="18"/>
      <c r="F301" s="18"/>
      <c r="G301" s="5" t="s">
        <v>53</v>
      </c>
      <c r="H301" s="21"/>
    </row>
    <row r="302" spans="1:8" ht="12.75" customHeight="1">
      <c r="A302" s="3">
        <f t="shared" si="28"/>
        <v>30</v>
      </c>
      <c r="B302" s="19">
        <v>39528</v>
      </c>
      <c r="C302" s="20">
        <v>0.625</v>
      </c>
      <c r="D302" s="4" t="s">
        <v>51</v>
      </c>
      <c r="E302" s="18"/>
      <c r="F302" s="18"/>
      <c r="G302" s="5" t="s">
        <v>43</v>
      </c>
      <c r="H302" s="21"/>
    </row>
    <row r="303" spans="1:8" ht="12.75" customHeight="1">
      <c r="A303" s="3">
        <f>A293+1</f>
        <v>31</v>
      </c>
      <c r="B303" s="19">
        <v>39542</v>
      </c>
      <c r="C303" s="20">
        <v>0.625</v>
      </c>
      <c r="D303" s="4" t="s">
        <v>49</v>
      </c>
      <c r="E303" s="18"/>
      <c r="F303" s="18"/>
      <c r="G303" s="5" t="s">
        <v>42</v>
      </c>
      <c r="H303" s="21"/>
    </row>
    <row r="304" spans="1:8" ht="12.75" customHeight="1">
      <c r="A304" s="3">
        <f aca="true" t="shared" si="29" ref="A304:A312">A294+1</f>
        <v>31</v>
      </c>
      <c r="B304" s="19">
        <v>39542</v>
      </c>
      <c r="C304" s="20">
        <v>0.625</v>
      </c>
      <c r="D304" s="4" t="s">
        <v>3</v>
      </c>
      <c r="E304" s="18"/>
      <c r="F304" s="18"/>
      <c r="G304" s="5" t="s">
        <v>50</v>
      </c>
      <c r="H304" s="21"/>
    </row>
    <row r="305" spans="1:8" ht="12.75" customHeight="1">
      <c r="A305" s="3">
        <f t="shared" si="29"/>
        <v>31</v>
      </c>
      <c r="B305" s="19">
        <v>39542</v>
      </c>
      <c r="C305" s="20">
        <v>0.625</v>
      </c>
      <c r="D305" s="4" t="s">
        <v>44</v>
      </c>
      <c r="E305" s="18"/>
      <c r="F305" s="18"/>
      <c r="G305" s="5" t="s">
        <v>41</v>
      </c>
      <c r="H305" s="21"/>
    </row>
    <row r="306" spans="1:8" ht="12.75" customHeight="1">
      <c r="A306" s="3">
        <f t="shared" si="29"/>
        <v>31</v>
      </c>
      <c r="B306" s="19">
        <v>39542</v>
      </c>
      <c r="C306" s="20">
        <v>0.625</v>
      </c>
      <c r="D306" s="4" t="s">
        <v>47</v>
      </c>
      <c r="E306" s="18"/>
      <c r="F306" s="18"/>
      <c r="G306" s="5" t="s">
        <v>51</v>
      </c>
      <c r="H306" s="21"/>
    </row>
    <row r="307" spans="1:8" ht="12.75" customHeight="1">
      <c r="A307" s="3">
        <f t="shared" si="29"/>
        <v>31</v>
      </c>
      <c r="B307" s="19">
        <v>39542</v>
      </c>
      <c r="C307" s="20">
        <v>0.625</v>
      </c>
      <c r="D307" s="4" t="s">
        <v>1</v>
      </c>
      <c r="E307" s="18"/>
      <c r="F307" s="18"/>
      <c r="G307" s="5" t="s">
        <v>46</v>
      </c>
      <c r="H307" s="21"/>
    </row>
    <row r="308" spans="1:8" ht="12.75" customHeight="1">
      <c r="A308" s="3">
        <f t="shared" si="29"/>
        <v>31</v>
      </c>
      <c r="B308" s="19">
        <v>39542</v>
      </c>
      <c r="C308" s="20">
        <v>0.625</v>
      </c>
      <c r="D308" s="4" t="s">
        <v>48</v>
      </c>
      <c r="E308" s="18"/>
      <c r="F308" s="18"/>
      <c r="G308" s="5" t="s">
        <v>54</v>
      </c>
      <c r="H308" s="21"/>
    </row>
    <row r="309" spans="1:8" ht="12.75" customHeight="1">
      <c r="A309" s="3">
        <f t="shared" si="29"/>
        <v>31</v>
      </c>
      <c r="B309" s="19">
        <v>39542</v>
      </c>
      <c r="C309" s="20">
        <v>0.625</v>
      </c>
      <c r="D309" s="4" t="s">
        <v>0</v>
      </c>
      <c r="E309" s="18"/>
      <c r="F309" s="18"/>
      <c r="G309" s="5" t="s">
        <v>53</v>
      </c>
      <c r="H309" s="21"/>
    </row>
    <row r="310" spans="1:8" ht="12.75" customHeight="1">
      <c r="A310" s="3">
        <f t="shared" si="29"/>
        <v>31</v>
      </c>
      <c r="B310" s="19">
        <v>39542</v>
      </c>
      <c r="C310" s="20">
        <v>0.625</v>
      </c>
      <c r="D310" s="4" t="s">
        <v>39</v>
      </c>
      <c r="E310" s="18"/>
      <c r="F310" s="18"/>
      <c r="G310" s="5" t="s">
        <v>2</v>
      </c>
      <c r="H310" s="21"/>
    </row>
    <row r="311" spans="1:8" ht="12.75" customHeight="1">
      <c r="A311" s="3">
        <f t="shared" si="29"/>
        <v>31</v>
      </c>
      <c r="B311" s="19">
        <v>39542</v>
      </c>
      <c r="C311" s="20">
        <v>0.625</v>
      </c>
      <c r="D311" s="4" t="s">
        <v>52</v>
      </c>
      <c r="E311" s="18"/>
      <c r="F311" s="18"/>
      <c r="G311" s="5" t="s">
        <v>43</v>
      </c>
      <c r="H311" s="21"/>
    </row>
    <row r="312" spans="1:8" ht="12.75" customHeight="1">
      <c r="A312" s="3">
        <f t="shared" si="29"/>
        <v>31</v>
      </c>
      <c r="B312" s="19">
        <v>39542</v>
      </c>
      <c r="C312" s="20">
        <v>0.625</v>
      </c>
      <c r="D312" s="4" t="s">
        <v>40</v>
      </c>
      <c r="E312" s="18"/>
      <c r="F312" s="18"/>
      <c r="G312" s="5" t="s">
        <v>45</v>
      </c>
      <c r="H312" s="21"/>
    </row>
    <row r="313" spans="1:8" ht="12.75" customHeight="1">
      <c r="A313" s="3">
        <f>A303+1</f>
        <v>32</v>
      </c>
      <c r="B313" s="19">
        <v>39549</v>
      </c>
      <c r="C313" s="20">
        <v>0.625</v>
      </c>
      <c r="D313" s="4" t="s">
        <v>45</v>
      </c>
      <c r="E313" s="18"/>
      <c r="F313" s="18"/>
      <c r="G313" s="5" t="s">
        <v>49</v>
      </c>
      <c r="H313" s="21"/>
    </row>
    <row r="314" spans="1:8" ht="12.75" customHeight="1">
      <c r="A314" s="3">
        <f aca="true" t="shared" si="30" ref="A314:A322">A304+1</f>
        <v>32</v>
      </c>
      <c r="B314" s="19">
        <v>39549</v>
      </c>
      <c r="C314" s="20">
        <v>0.625</v>
      </c>
      <c r="D314" s="4" t="s">
        <v>46</v>
      </c>
      <c r="E314" s="18"/>
      <c r="F314" s="18"/>
      <c r="G314" s="5" t="s">
        <v>0</v>
      </c>
      <c r="H314" s="21"/>
    </row>
    <row r="315" spans="1:8" ht="12.75" customHeight="1">
      <c r="A315" s="3">
        <f t="shared" si="30"/>
        <v>32</v>
      </c>
      <c r="B315" s="19">
        <v>39549</v>
      </c>
      <c r="C315" s="20">
        <v>0.625</v>
      </c>
      <c r="D315" s="4" t="s">
        <v>51</v>
      </c>
      <c r="E315" s="18"/>
      <c r="F315" s="18"/>
      <c r="G315" s="5" t="s">
        <v>40</v>
      </c>
      <c r="H315" s="21"/>
    </row>
    <row r="316" spans="1:8" ht="12.75" customHeight="1">
      <c r="A316" s="3">
        <f t="shared" si="30"/>
        <v>32</v>
      </c>
      <c r="B316" s="19">
        <v>39549</v>
      </c>
      <c r="C316" s="20">
        <v>0.625</v>
      </c>
      <c r="D316" s="4" t="s">
        <v>43</v>
      </c>
      <c r="E316" s="18"/>
      <c r="F316" s="18"/>
      <c r="G316" s="5" t="s">
        <v>3</v>
      </c>
      <c r="H316" s="21"/>
    </row>
    <row r="317" spans="1:8" ht="12.75" customHeight="1">
      <c r="A317" s="3">
        <f t="shared" si="30"/>
        <v>32</v>
      </c>
      <c r="B317" s="19">
        <v>39549</v>
      </c>
      <c r="C317" s="20">
        <v>0.625</v>
      </c>
      <c r="D317" s="4" t="s">
        <v>42</v>
      </c>
      <c r="E317" s="18"/>
      <c r="F317" s="18"/>
      <c r="G317" s="5" t="s">
        <v>52</v>
      </c>
      <c r="H317" s="21"/>
    </row>
    <row r="318" spans="1:8" ht="12.75" customHeight="1">
      <c r="A318" s="3">
        <f t="shared" si="30"/>
        <v>32</v>
      </c>
      <c r="B318" s="19">
        <v>39549</v>
      </c>
      <c r="C318" s="20">
        <v>0.625</v>
      </c>
      <c r="D318" s="4" t="s">
        <v>41</v>
      </c>
      <c r="E318" s="18"/>
      <c r="F318" s="18"/>
      <c r="G318" s="5" t="s">
        <v>39</v>
      </c>
      <c r="H318" s="21"/>
    </row>
    <row r="319" spans="1:8" ht="12.75" customHeight="1">
      <c r="A319" s="3">
        <f t="shared" si="30"/>
        <v>32</v>
      </c>
      <c r="B319" s="19">
        <v>39549</v>
      </c>
      <c r="C319" s="20">
        <v>0.625</v>
      </c>
      <c r="D319" s="4" t="s">
        <v>50</v>
      </c>
      <c r="E319" s="18"/>
      <c r="F319" s="18"/>
      <c r="G319" s="5" t="s">
        <v>48</v>
      </c>
      <c r="H319" s="21"/>
    </row>
    <row r="320" spans="1:8" ht="12.75" customHeight="1">
      <c r="A320" s="3">
        <f t="shared" si="30"/>
        <v>32</v>
      </c>
      <c r="B320" s="19">
        <v>39549</v>
      </c>
      <c r="C320" s="20">
        <v>0.625</v>
      </c>
      <c r="D320" s="4" t="s">
        <v>54</v>
      </c>
      <c r="E320" s="18"/>
      <c r="F320" s="18"/>
      <c r="G320" s="5" t="s">
        <v>47</v>
      </c>
      <c r="H320" s="21"/>
    </row>
    <row r="321" spans="1:8" ht="12.75" customHeight="1">
      <c r="A321" s="3">
        <f t="shared" si="30"/>
        <v>32</v>
      </c>
      <c r="B321" s="19">
        <v>39549</v>
      </c>
      <c r="C321" s="20">
        <v>0.625</v>
      </c>
      <c r="D321" s="4" t="s">
        <v>53</v>
      </c>
      <c r="E321" s="18"/>
      <c r="F321" s="18"/>
      <c r="G321" s="5" t="s">
        <v>44</v>
      </c>
      <c r="H321" s="21"/>
    </row>
    <row r="322" spans="1:8" ht="12.75" customHeight="1">
      <c r="A322" s="3">
        <f t="shared" si="30"/>
        <v>32</v>
      </c>
      <c r="B322" s="19">
        <v>39549</v>
      </c>
      <c r="C322" s="20">
        <v>0.625</v>
      </c>
      <c r="D322" s="4" t="s">
        <v>2</v>
      </c>
      <c r="E322" s="18"/>
      <c r="F322" s="18"/>
      <c r="G322" s="5" t="s">
        <v>1</v>
      </c>
      <c r="H322" s="21"/>
    </row>
    <row r="323" spans="1:8" ht="12.75" customHeight="1">
      <c r="A323" s="3">
        <f>A313+1</f>
        <v>33</v>
      </c>
      <c r="B323" s="19">
        <v>39556</v>
      </c>
      <c r="C323" s="20">
        <v>0.625</v>
      </c>
      <c r="D323" s="4" t="s">
        <v>45</v>
      </c>
      <c r="E323" s="18"/>
      <c r="F323" s="18"/>
      <c r="G323" s="5" t="s">
        <v>47</v>
      </c>
      <c r="H323" s="21"/>
    </row>
    <row r="324" spans="1:8" ht="12.75" customHeight="1">
      <c r="A324" s="3">
        <f aca="true" t="shared" si="31" ref="A324:A332">A314+1</f>
        <v>33</v>
      </c>
      <c r="B324" s="19">
        <v>39556</v>
      </c>
      <c r="C324" s="20">
        <v>0.625</v>
      </c>
      <c r="D324" s="4" t="s">
        <v>54</v>
      </c>
      <c r="E324" s="18"/>
      <c r="F324" s="18"/>
      <c r="G324" s="5" t="s">
        <v>3</v>
      </c>
      <c r="H324" s="21"/>
    </row>
    <row r="325" spans="1:8" ht="12.75" customHeight="1">
      <c r="A325" s="3">
        <f t="shared" si="31"/>
        <v>33</v>
      </c>
      <c r="B325" s="19">
        <v>39556</v>
      </c>
      <c r="C325" s="20">
        <v>0.625</v>
      </c>
      <c r="D325" s="4" t="s">
        <v>42</v>
      </c>
      <c r="E325" s="18"/>
      <c r="F325" s="18"/>
      <c r="G325" s="5" t="s">
        <v>0</v>
      </c>
      <c r="H325" s="21"/>
    </row>
    <row r="326" spans="1:8" ht="12.75" customHeight="1">
      <c r="A326" s="3">
        <f t="shared" si="31"/>
        <v>33</v>
      </c>
      <c r="B326" s="19">
        <v>39556</v>
      </c>
      <c r="C326" s="20">
        <v>0.625</v>
      </c>
      <c r="D326" s="4" t="s">
        <v>2</v>
      </c>
      <c r="E326" s="18"/>
      <c r="F326" s="18"/>
      <c r="G326" s="5" t="s">
        <v>44</v>
      </c>
      <c r="H326" s="21"/>
    </row>
    <row r="327" spans="1:8" ht="12.75" customHeight="1">
      <c r="A327" s="3">
        <f t="shared" si="31"/>
        <v>33</v>
      </c>
      <c r="B327" s="19">
        <v>39556</v>
      </c>
      <c r="C327" s="20">
        <v>0.625</v>
      </c>
      <c r="D327" s="4" t="s">
        <v>51</v>
      </c>
      <c r="E327" s="18"/>
      <c r="F327" s="18"/>
      <c r="G327" s="5" t="s">
        <v>1</v>
      </c>
      <c r="H327" s="21"/>
    </row>
    <row r="328" spans="1:8" ht="12.75" customHeight="1">
      <c r="A328" s="3">
        <f t="shared" si="31"/>
        <v>33</v>
      </c>
      <c r="B328" s="19">
        <v>39556</v>
      </c>
      <c r="C328" s="20">
        <v>0.625</v>
      </c>
      <c r="D328" s="4" t="s">
        <v>53</v>
      </c>
      <c r="E328" s="18"/>
      <c r="F328" s="18"/>
      <c r="G328" s="5" t="s">
        <v>48</v>
      </c>
      <c r="H328" s="21"/>
    </row>
    <row r="329" spans="1:8" ht="12.75" customHeight="1">
      <c r="A329" s="3">
        <f t="shared" si="31"/>
        <v>33</v>
      </c>
      <c r="B329" s="19">
        <v>39556</v>
      </c>
      <c r="C329" s="20">
        <v>0.625</v>
      </c>
      <c r="D329" s="4" t="s">
        <v>50</v>
      </c>
      <c r="E329" s="18"/>
      <c r="F329" s="18"/>
      <c r="G329" s="5" t="s">
        <v>52</v>
      </c>
      <c r="H329" s="21"/>
    </row>
    <row r="330" spans="1:8" ht="12.75" customHeight="1">
      <c r="A330" s="3">
        <f t="shared" si="31"/>
        <v>33</v>
      </c>
      <c r="B330" s="19">
        <v>39556</v>
      </c>
      <c r="C330" s="20">
        <v>0.625</v>
      </c>
      <c r="D330" s="4" t="s">
        <v>46</v>
      </c>
      <c r="E330" s="18"/>
      <c r="F330" s="18"/>
      <c r="G330" s="5" t="s">
        <v>49</v>
      </c>
      <c r="H330" s="21"/>
    </row>
    <row r="331" spans="1:8" ht="12.75" customHeight="1">
      <c r="A331" s="3">
        <f t="shared" si="31"/>
        <v>33</v>
      </c>
      <c r="B331" s="19">
        <v>39556</v>
      </c>
      <c r="C331" s="20">
        <v>0.625</v>
      </c>
      <c r="D331" s="4" t="s">
        <v>41</v>
      </c>
      <c r="E331" s="18"/>
      <c r="F331" s="18"/>
      <c r="G331" s="5" t="s">
        <v>40</v>
      </c>
      <c r="H331" s="21"/>
    </row>
    <row r="332" spans="1:8" ht="12.75" customHeight="1">
      <c r="A332" s="3">
        <f t="shared" si="31"/>
        <v>33</v>
      </c>
      <c r="B332" s="19">
        <v>39556</v>
      </c>
      <c r="C332" s="20">
        <v>0.625</v>
      </c>
      <c r="D332" s="4" t="s">
        <v>43</v>
      </c>
      <c r="E332" s="18"/>
      <c r="F332" s="18"/>
      <c r="G332" s="5" t="s">
        <v>39</v>
      </c>
      <c r="H332" s="21"/>
    </row>
    <row r="333" spans="1:8" ht="12.75" customHeight="1">
      <c r="A333" s="3">
        <f>A323+1</f>
        <v>34</v>
      </c>
      <c r="B333" s="19">
        <v>39563</v>
      </c>
      <c r="C333" s="20">
        <v>0.625</v>
      </c>
      <c r="D333" s="4" t="s">
        <v>48</v>
      </c>
      <c r="E333" s="18"/>
      <c r="F333" s="18"/>
      <c r="G333" s="5" t="s">
        <v>51</v>
      </c>
      <c r="H333" s="21"/>
    </row>
    <row r="334" spans="1:8" ht="12.75" customHeight="1">
      <c r="A334" s="3">
        <f aca="true" t="shared" si="32" ref="A334:A342">A324+1</f>
        <v>34</v>
      </c>
      <c r="B334" s="19">
        <v>39563</v>
      </c>
      <c r="C334" s="20">
        <v>0.625</v>
      </c>
      <c r="D334" s="4" t="s">
        <v>39</v>
      </c>
      <c r="E334" s="18"/>
      <c r="F334" s="18"/>
      <c r="G334" s="5" t="s">
        <v>45</v>
      </c>
      <c r="H334" s="21"/>
    </row>
    <row r="335" spans="1:8" ht="12.75" customHeight="1">
      <c r="A335" s="3">
        <f t="shared" si="32"/>
        <v>34</v>
      </c>
      <c r="B335" s="19">
        <v>39563</v>
      </c>
      <c r="C335" s="20">
        <v>0.625</v>
      </c>
      <c r="D335" s="4" t="s">
        <v>0</v>
      </c>
      <c r="E335" s="18"/>
      <c r="F335" s="18"/>
      <c r="G335" s="5" t="s">
        <v>2</v>
      </c>
      <c r="H335" s="21"/>
    </row>
    <row r="336" spans="1:8" ht="12.75" customHeight="1">
      <c r="A336" s="3">
        <f t="shared" si="32"/>
        <v>34</v>
      </c>
      <c r="B336" s="19">
        <v>39563</v>
      </c>
      <c r="C336" s="20">
        <v>0.625</v>
      </c>
      <c r="D336" s="4" t="s">
        <v>1</v>
      </c>
      <c r="E336" s="18"/>
      <c r="F336" s="18"/>
      <c r="G336" s="5" t="s">
        <v>43</v>
      </c>
      <c r="H336" s="21"/>
    </row>
    <row r="337" spans="1:8" ht="12.75" customHeight="1">
      <c r="A337" s="3">
        <f t="shared" si="32"/>
        <v>34</v>
      </c>
      <c r="B337" s="19">
        <v>39563</v>
      </c>
      <c r="C337" s="20">
        <v>0.625</v>
      </c>
      <c r="D337" s="4" t="s">
        <v>40</v>
      </c>
      <c r="E337" s="18"/>
      <c r="F337" s="18"/>
      <c r="G337" s="5" t="s">
        <v>46</v>
      </c>
      <c r="H337" s="21"/>
    </row>
    <row r="338" spans="1:8" ht="12.75" customHeight="1">
      <c r="A338" s="3">
        <f t="shared" si="32"/>
        <v>34</v>
      </c>
      <c r="B338" s="19">
        <v>39563</v>
      </c>
      <c r="C338" s="20">
        <v>0.625</v>
      </c>
      <c r="D338" s="4" t="s">
        <v>44</v>
      </c>
      <c r="E338" s="18"/>
      <c r="F338" s="18"/>
      <c r="G338" s="5" t="s">
        <v>50</v>
      </c>
      <c r="H338" s="21"/>
    </row>
    <row r="339" spans="1:8" ht="12.75" customHeight="1">
      <c r="A339" s="3">
        <f t="shared" si="32"/>
        <v>34</v>
      </c>
      <c r="B339" s="19">
        <v>39563</v>
      </c>
      <c r="C339" s="20">
        <v>0.625</v>
      </c>
      <c r="D339" s="4" t="s">
        <v>52</v>
      </c>
      <c r="E339" s="18"/>
      <c r="F339" s="18"/>
      <c r="G339" s="5" t="s">
        <v>53</v>
      </c>
      <c r="H339" s="21"/>
    </row>
    <row r="340" spans="1:8" ht="12.75" customHeight="1">
      <c r="A340" s="3">
        <f t="shared" si="32"/>
        <v>34</v>
      </c>
      <c r="B340" s="19">
        <v>39563</v>
      </c>
      <c r="C340" s="20">
        <v>0.625</v>
      </c>
      <c r="D340" s="4" t="s">
        <v>49</v>
      </c>
      <c r="E340" s="18"/>
      <c r="F340" s="18"/>
      <c r="G340" s="5" t="s">
        <v>54</v>
      </c>
      <c r="H340" s="21"/>
    </row>
    <row r="341" spans="1:8" ht="12.75" customHeight="1">
      <c r="A341" s="3">
        <f t="shared" si="32"/>
        <v>34</v>
      </c>
      <c r="B341" s="19">
        <v>39563</v>
      </c>
      <c r="C341" s="20">
        <v>0.625</v>
      </c>
      <c r="D341" s="4" t="s">
        <v>3</v>
      </c>
      <c r="E341" s="18"/>
      <c r="F341" s="18"/>
      <c r="G341" s="5" t="s">
        <v>42</v>
      </c>
      <c r="H341" s="21"/>
    </row>
    <row r="342" spans="1:8" ht="12.75" customHeight="1">
      <c r="A342" s="3">
        <f t="shared" si="32"/>
        <v>34</v>
      </c>
      <c r="B342" s="19">
        <v>39563</v>
      </c>
      <c r="C342" s="20">
        <v>0.625</v>
      </c>
      <c r="D342" s="4" t="s">
        <v>47</v>
      </c>
      <c r="E342" s="18"/>
      <c r="F342" s="18"/>
      <c r="G342" s="5" t="s">
        <v>41</v>
      </c>
      <c r="H342" s="21"/>
    </row>
    <row r="343" spans="1:8" ht="12.75" customHeight="1">
      <c r="A343" s="3">
        <f>A333+1</f>
        <v>35</v>
      </c>
      <c r="B343" s="19">
        <v>39570</v>
      </c>
      <c r="C343" s="20">
        <v>0.625</v>
      </c>
      <c r="D343" s="4" t="s">
        <v>54</v>
      </c>
      <c r="E343" s="18"/>
      <c r="F343" s="18"/>
      <c r="G343" s="5" t="s">
        <v>44</v>
      </c>
      <c r="H343" s="21"/>
    </row>
    <row r="344" spans="1:8" ht="12.75" customHeight="1">
      <c r="A344" s="3">
        <f aca="true" t="shared" si="33" ref="A344:A352">A334+1</f>
        <v>35</v>
      </c>
      <c r="B344" s="19">
        <v>39570</v>
      </c>
      <c r="C344" s="20">
        <v>0.625</v>
      </c>
      <c r="D344" s="4" t="s">
        <v>41</v>
      </c>
      <c r="E344" s="18"/>
      <c r="F344" s="18"/>
      <c r="G344" s="5" t="s">
        <v>3</v>
      </c>
      <c r="H344" s="21"/>
    </row>
    <row r="345" spans="1:8" ht="12.75" customHeight="1">
      <c r="A345" s="3">
        <f t="shared" si="33"/>
        <v>35</v>
      </c>
      <c r="B345" s="19">
        <v>39570</v>
      </c>
      <c r="C345" s="20">
        <v>0.625</v>
      </c>
      <c r="D345" s="4" t="s">
        <v>50</v>
      </c>
      <c r="E345" s="18"/>
      <c r="F345" s="18"/>
      <c r="G345" s="5" t="s">
        <v>39</v>
      </c>
      <c r="H345" s="21"/>
    </row>
    <row r="346" spans="1:8" ht="12.75" customHeight="1">
      <c r="A346" s="3">
        <f t="shared" si="33"/>
        <v>35</v>
      </c>
      <c r="B346" s="19">
        <v>39570</v>
      </c>
      <c r="C346" s="20">
        <v>0.625</v>
      </c>
      <c r="D346" s="4" t="s">
        <v>42</v>
      </c>
      <c r="E346" s="18"/>
      <c r="F346" s="18"/>
      <c r="G346" s="5" t="s">
        <v>1</v>
      </c>
      <c r="H346" s="21"/>
    </row>
    <row r="347" spans="1:8" ht="12.75" customHeight="1">
      <c r="A347" s="3">
        <f t="shared" si="33"/>
        <v>35</v>
      </c>
      <c r="B347" s="19">
        <v>39570</v>
      </c>
      <c r="C347" s="20">
        <v>0.625</v>
      </c>
      <c r="D347" s="4" t="s">
        <v>53</v>
      </c>
      <c r="E347" s="18"/>
      <c r="F347" s="18"/>
      <c r="G347" s="5" t="s">
        <v>40</v>
      </c>
      <c r="H347" s="21"/>
    </row>
    <row r="348" spans="1:8" ht="12.75" customHeight="1">
      <c r="A348" s="3">
        <f t="shared" si="33"/>
        <v>35</v>
      </c>
      <c r="B348" s="19">
        <v>39570</v>
      </c>
      <c r="C348" s="20">
        <v>0.625</v>
      </c>
      <c r="D348" s="4" t="s">
        <v>43</v>
      </c>
      <c r="E348" s="18"/>
      <c r="F348" s="18"/>
      <c r="G348" s="5" t="s">
        <v>48</v>
      </c>
      <c r="H348" s="21"/>
    </row>
    <row r="349" spans="1:8" ht="12.75" customHeight="1">
      <c r="A349" s="3">
        <f t="shared" si="33"/>
        <v>35</v>
      </c>
      <c r="B349" s="19">
        <v>39570</v>
      </c>
      <c r="C349" s="20">
        <v>0.625</v>
      </c>
      <c r="D349" s="4" t="s">
        <v>45</v>
      </c>
      <c r="E349" s="18"/>
      <c r="F349" s="18"/>
      <c r="G349" s="5" t="s">
        <v>0</v>
      </c>
      <c r="H349" s="21"/>
    </row>
    <row r="350" spans="1:8" ht="12.75" customHeight="1">
      <c r="A350" s="3">
        <f t="shared" si="33"/>
        <v>35</v>
      </c>
      <c r="B350" s="19">
        <v>39570</v>
      </c>
      <c r="C350" s="20">
        <v>0.625</v>
      </c>
      <c r="D350" s="4" t="s">
        <v>46</v>
      </c>
      <c r="E350" s="18"/>
      <c r="F350" s="18"/>
      <c r="G350" s="5" t="s">
        <v>52</v>
      </c>
      <c r="H350" s="21"/>
    </row>
    <row r="351" spans="1:8" ht="12.75" customHeight="1">
      <c r="A351" s="3">
        <f t="shared" si="33"/>
        <v>35</v>
      </c>
      <c r="B351" s="19">
        <v>39570</v>
      </c>
      <c r="C351" s="20">
        <v>0.625</v>
      </c>
      <c r="D351" s="4" t="s">
        <v>2</v>
      </c>
      <c r="E351" s="18"/>
      <c r="F351" s="18"/>
      <c r="G351" s="5" t="s">
        <v>47</v>
      </c>
      <c r="H351" s="21"/>
    </row>
    <row r="352" spans="1:8" ht="12.75" customHeight="1">
      <c r="A352" s="3">
        <f t="shared" si="33"/>
        <v>35</v>
      </c>
      <c r="B352" s="19">
        <v>39570</v>
      </c>
      <c r="C352" s="20">
        <v>0.625</v>
      </c>
      <c r="D352" s="4" t="s">
        <v>51</v>
      </c>
      <c r="E352" s="18"/>
      <c r="F352" s="18"/>
      <c r="G352" s="5" t="s">
        <v>49</v>
      </c>
      <c r="H352" s="21"/>
    </row>
    <row r="353" spans="1:8" ht="12.75" customHeight="1">
      <c r="A353" s="3">
        <f>A343+1</f>
        <v>36</v>
      </c>
      <c r="B353" s="19">
        <v>39577</v>
      </c>
      <c r="C353" s="20">
        <v>0.625</v>
      </c>
      <c r="D353" s="4" t="s">
        <v>0</v>
      </c>
      <c r="E353" s="18"/>
      <c r="F353" s="18"/>
      <c r="G353" s="5" t="s">
        <v>41</v>
      </c>
      <c r="H353" s="21"/>
    </row>
    <row r="354" spans="1:8" ht="12.75" customHeight="1">
      <c r="A354" s="3">
        <f aca="true" t="shared" si="34" ref="A354:A362">A344+1</f>
        <v>36</v>
      </c>
      <c r="B354" s="19">
        <v>39577</v>
      </c>
      <c r="C354" s="20">
        <v>0.625</v>
      </c>
      <c r="D354" s="4" t="s">
        <v>44</v>
      </c>
      <c r="E354" s="18"/>
      <c r="F354" s="18"/>
      <c r="G354" s="5" t="s">
        <v>43</v>
      </c>
      <c r="H354" s="21"/>
    </row>
    <row r="355" spans="1:8" ht="12.75" customHeight="1">
      <c r="A355" s="3">
        <f t="shared" si="34"/>
        <v>36</v>
      </c>
      <c r="B355" s="19">
        <v>39577</v>
      </c>
      <c r="C355" s="20">
        <v>0.625</v>
      </c>
      <c r="D355" s="4" t="s">
        <v>39</v>
      </c>
      <c r="E355" s="18"/>
      <c r="F355" s="18"/>
      <c r="G355" s="5" t="s">
        <v>46</v>
      </c>
      <c r="H355" s="21"/>
    </row>
    <row r="356" spans="1:8" ht="12.75" customHeight="1">
      <c r="A356" s="3">
        <f t="shared" si="34"/>
        <v>36</v>
      </c>
      <c r="B356" s="19">
        <v>39577</v>
      </c>
      <c r="C356" s="20">
        <v>0.625</v>
      </c>
      <c r="D356" s="4" t="s">
        <v>48</v>
      </c>
      <c r="E356" s="18"/>
      <c r="F356" s="18"/>
      <c r="G356" s="5" t="s">
        <v>42</v>
      </c>
      <c r="H356" s="21"/>
    </row>
    <row r="357" spans="1:8" ht="12.75" customHeight="1">
      <c r="A357" s="3">
        <f t="shared" si="34"/>
        <v>36</v>
      </c>
      <c r="B357" s="19">
        <v>39577</v>
      </c>
      <c r="C357" s="20">
        <v>0.625</v>
      </c>
      <c r="D357" s="4" t="s">
        <v>3</v>
      </c>
      <c r="E357" s="18"/>
      <c r="F357" s="18"/>
      <c r="G357" s="5" t="s">
        <v>51</v>
      </c>
      <c r="H357" s="21"/>
    </row>
    <row r="358" spans="1:8" ht="12.75" customHeight="1">
      <c r="A358" s="3">
        <f t="shared" si="34"/>
        <v>36</v>
      </c>
      <c r="B358" s="19">
        <v>39577</v>
      </c>
      <c r="C358" s="20">
        <v>0.625</v>
      </c>
      <c r="D358" s="4" t="s">
        <v>52</v>
      </c>
      <c r="E358" s="18"/>
      <c r="F358" s="18"/>
      <c r="G358" s="5" t="s">
        <v>45</v>
      </c>
      <c r="H358" s="21"/>
    </row>
    <row r="359" spans="1:8" ht="12.75" customHeight="1">
      <c r="A359" s="3">
        <f t="shared" si="34"/>
        <v>36</v>
      </c>
      <c r="B359" s="19">
        <v>39577</v>
      </c>
      <c r="C359" s="20">
        <v>0.625</v>
      </c>
      <c r="D359" s="4" t="s">
        <v>47</v>
      </c>
      <c r="E359" s="18"/>
      <c r="F359" s="18"/>
      <c r="G359" s="5" t="s">
        <v>53</v>
      </c>
      <c r="H359" s="21"/>
    </row>
    <row r="360" spans="1:8" ht="12.75" customHeight="1">
      <c r="A360" s="3">
        <f t="shared" si="34"/>
        <v>36</v>
      </c>
      <c r="B360" s="19">
        <v>39577</v>
      </c>
      <c r="C360" s="20">
        <v>0.625</v>
      </c>
      <c r="D360" s="4" t="s">
        <v>1</v>
      </c>
      <c r="E360" s="18"/>
      <c r="F360" s="18"/>
      <c r="G360" s="5" t="s">
        <v>54</v>
      </c>
      <c r="H360" s="21"/>
    </row>
    <row r="361" spans="1:8" ht="12.75" customHeight="1">
      <c r="A361" s="3">
        <f t="shared" si="34"/>
        <v>36</v>
      </c>
      <c r="B361" s="19">
        <v>39577</v>
      </c>
      <c r="C361" s="20">
        <v>0.625</v>
      </c>
      <c r="D361" s="4" t="s">
        <v>49</v>
      </c>
      <c r="E361" s="18"/>
      <c r="F361" s="18"/>
      <c r="G361" s="5" t="s">
        <v>2</v>
      </c>
      <c r="H361" s="21"/>
    </row>
    <row r="362" spans="1:8" ht="12.75" customHeight="1">
      <c r="A362" s="3">
        <f t="shared" si="34"/>
        <v>36</v>
      </c>
      <c r="B362" s="19">
        <v>39577</v>
      </c>
      <c r="C362" s="20">
        <v>0.625</v>
      </c>
      <c r="D362" s="4" t="s">
        <v>40</v>
      </c>
      <c r="E362" s="18"/>
      <c r="F362" s="18"/>
      <c r="G362" s="5" t="s">
        <v>50</v>
      </c>
      <c r="H362" s="21"/>
    </row>
    <row r="363" spans="1:8" ht="12.75" customHeight="1">
      <c r="A363" s="3">
        <f>A353+1</f>
        <v>37</v>
      </c>
      <c r="B363" s="19">
        <v>39584</v>
      </c>
      <c r="C363" s="20">
        <v>0.625</v>
      </c>
      <c r="D363" s="4" t="s">
        <v>53</v>
      </c>
      <c r="E363" s="18"/>
      <c r="F363" s="18"/>
      <c r="G363" s="5" t="s">
        <v>49</v>
      </c>
      <c r="H363" s="21"/>
    </row>
    <row r="364" spans="1:8" ht="12.75" customHeight="1">
      <c r="A364" s="3">
        <f aca="true" t="shared" si="35" ref="A364:A372">A354+1</f>
        <v>37</v>
      </c>
      <c r="B364" s="19">
        <v>39584</v>
      </c>
      <c r="C364" s="20">
        <v>0.625</v>
      </c>
      <c r="D364" s="4" t="s">
        <v>2</v>
      </c>
      <c r="E364" s="18"/>
      <c r="F364" s="18"/>
      <c r="G364" s="5" t="s">
        <v>43</v>
      </c>
      <c r="H364" s="21"/>
    </row>
    <row r="365" spans="1:8" ht="12.75" customHeight="1">
      <c r="A365" s="3">
        <f t="shared" si="35"/>
        <v>37</v>
      </c>
      <c r="B365" s="19">
        <v>39584</v>
      </c>
      <c r="C365" s="20">
        <v>0.625</v>
      </c>
      <c r="D365" s="4" t="s">
        <v>41</v>
      </c>
      <c r="E365" s="18"/>
      <c r="F365" s="18"/>
      <c r="G365" s="5" t="s">
        <v>50</v>
      </c>
      <c r="H365" s="21"/>
    </row>
    <row r="366" spans="1:8" ht="12.75" customHeight="1">
      <c r="A366" s="3">
        <f t="shared" si="35"/>
        <v>37</v>
      </c>
      <c r="B366" s="19">
        <v>39584</v>
      </c>
      <c r="C366" s="20">
        <v>0.625</v>
      </c>
      <c r="D366" s="4" t="s">
        <v>46</v>
      </c>
      <c r="E366" s="18"/>
      <c r="F366" s="18"/>
      <c r="G366" s="5" t="s">
        <v>54</v>
      </c>
      <c r="H366" s="21"/>
    </row>
    <row r="367" spans="1:8" ht="12.75" customHeight="1">
      <c r="A367" s="3">
        <f t="shared" si="35"/>
        <v>37</v>
      </c>
      <c r="B367" s="19">
        <v>39584</v>
      </c>
      <c r="C367" s="20">
        <v>0.625</v>
      </c>
      <c r="D367" s="4" t="s">
        <v>3</v>
      </c>
      <c r="E367" s="18"/>
      <c r="F367" s="18"/>
      <c r="G367" s="5" t="s">
        <v>47</v>
      </c>
      <c r="H367" s="21"/>
    </row>
    <row r="368" spans="1:8" ht="12.75" customHeight="1">
      <c r="A368" s="3">
        <f t="shared" si="35"/>
        <v>37</v>
      </c>
      <c r="B368" s="19">
        <v>39584</v>
      </c>
      <c r="C368" s="20">
        <v>0.625</v>
      </c>
      <c r="D368" s="4" t="s">
        <v>42</v>
      </c>
      <c r="E368" s="18"/>
      <c r="F368" s="18"/>
      <c r="G368" s="5" t="s">
        <v>51</v>
      </c>
      <c r="H368" s="21"/>
    </row>
    <row r="369" spans="1:8" ht="12.75" customHeight="1">
      <c r="A369" s="3">
        <f t="shared" si="35"/>
        <v>37</v>
      </c>
      <c r="B369" s="19">
        <v>39584</v>
      </c>
      <c r="C369" s="20">
        <v>0.625</v>
      </c>
      <c r="D369" s="4" t="s">
        <v>1</v>
      </c>
      <c r="E369" s="18"/>
      <c r="F369" s="18"/>
      <c r="G369" s="5" t="s">
        <v>45</v>
      </c>
      <c r="H369" s="21"/>
    </row>
    <row r="370" spans="1:8" ht="12.75" customHeight="1">
      <c r="A370" s="3">
        <f t="shared" si="35"/>
        <v>37</v>
      </c>
      <c r="B370" s="19">
        <v>39584</v>
      </c>
      <c r="C370" s="20">
        <v>0.625</v>
      </c>
      <c r="D370" s="4" t="s">
        <v>44</v>
      </c>
      <c r="E370" s="18"/>
      <c r="F370" s="18"/>
      <c r="G370" s="5" t="s">
        <v>39</v>
      </c>
      <c r="H370" s="21"/>
    </row>
    <row r="371" spans="1:8" ht="12.75" customHeight="1">
      <c r="A371" s="3">
        <f t="shared" si="35"/>
        <v>37</v>
      </c>
      <c r="B371" s="19">
        <v>39584</v>
      </c>
      <c r="C371" s="20">
        <v>0.625</v>
      </c>
      <c r="D371" s="4" t="s">
        <v>48</v>
      </c>
      <c r="E371" s="18"/>
      <c r="F371" s="18"/>
      <c r="G371" s="5" t="s">
        <v>52</v>
      </c>
      <c r="H371" s="21"/>
    </row>
    <row r="372" spans="1:8" ht="12.75" customHeight="1">
      <c r="A372" s="3">
        <f t="shared" si="35"/>
        <v>37</v>
      </c>
      <c r="B372" s="19">
        <v>39584</v>
      </c>
      <c r="C372" s="20">
        <v>0.625</v>
      </c>
      <c r="D372" s="4" t="s">
        <v>0</v>
      </c>
      <c r="E372" s="18"/>
      <c r="F372" s="18"/>
      <c r="G372" s="5" t="s">
        <v>40</v>
      </c>
      <c r="H372" s="21"/>
    </row>
    <row r="373" spans="1:8" ht="12.75" customHeight="1">
      <c r="A373" s="3">
        <f>A363+1</f>
        <v>38</v>
      </c>
      <c r="B373" s="19">
        <v>39592</v>
      </c>
      <c r="C373" s="20">
        <v>0.625</v>
      </c>
      <c r="D373" s="4" t="s">
        <v>47</v>
      </c>
      <c r="E373" s="18"/>
      <c r="F373" s="18"/>
      <c r="G373" s="5" t="s">
        <v>46</v>
      </c>
      <c r="H373" s="21"/>
    </row>
    <row r="374" spans="1:8" ht="12.75" customHeight="1">
      <c r="A374" s="3">
        <f aca="true" t="shared" si="36" ref="A374:A382">A364+1</f>
        <v>38</v>
      </c>
      <c r="B374" s="19">
        <v>39592</v>
      </c>
      <c r="C374" s="20">
        <v>0.625</v>
      </c>
      <c r="D374" s="4" t="s">
        <v>50</v>
      </c>
      <c r="E374" s="18"/>
      <c r="F374" s="18"/>
      <c r="G374" s="5" t="s">
        <v>0</v>
      </c>
      <c r="H374" s="21"/>
    </row>
    <row r="375" spans="1:8" ht="12.75" customHeight="1">
      <c r="A375" s="3">
        <f t="shared" si="36"/>
        <v>38</v>
      </c>
      <c r="B375" s="19">
        <v>39592</v>
      </c>
      <c r="C375" s="20">
        <v>0.625</v>
      </c>
      <c r="D375" s="4" t="s">
        <v>45</v>
      </c>
      <c r="E375" s="18"/>
      <c r="F375" s="18"/>
      <c r="G375" s="5" t="s">
        <v>42</v>
      </c>
      <c r="H375" s="21"/>
    </row>
    <row r="376" spans="1:8" ht="12.75" customHeight="1">
      <c r="A376" s="3">
        <f t="shared" si="36"/>
        <v>38</v>
      </c>
      <c r="B376" s="19">
        <v>39592</v>
      </c>
      <c r="C376" s="20">
        <v>0.625</v>
      </c>
      <c r="D376" s="4" t="s">
        <v>54</v>
      </c>
      <c r="E376" s="18"/>
      <c r="F376" s="18"/>
      <c r="G376" s="5" t="s">
        <v>2</v>
      </c>
      <c r="H376" s="21"/>
    </row>
    <row r="377" spans="1:8" ht="12.75" customHeight="1">
      <c r="A377" s="3">
        <f t="shared" si="36"/>
        <v>38</v>
      </c>
      <c r="B377" s="19">
        <v>39592</v>
      </c>
      <c r="C377" s="20">
        <v>0.625</v>
      </c>
      <c r="D377" s="4" t="s">
        <v>52</v>
      </c>
      <c r="E377" s="18"/>
      <c r="F377" s="18"/>
      <c r="G377" s="5" t="s">
        <v>41</v>
      </c>
      <c r="H377" s="21"/>
    </row>
    <row r="378" spans="1:8" ht="12.75" customHeight="1">
      <c r="A378" s="3">
        <f t="shared" si="36"/>
        <v>38</v>
      </c>
      <c r="B378" s="19">
        <v>39592</v>
      </c>
      <c r="C378" s="20">
        <v>0.625</v>
      </c>
      <c r="D378" s="4" t="s">
        <v>51</v>
      </c>
      <c r="E378" s="18"/>
      <c r="F378" s="18"/>
      <c r="G378" s="5" t="s">
        <v>44</v>
      </c>
      <c r="H378" s="21"/>
    </row>
    <row r="379" spans="1:8" ht="12.75" customHeight="1">
      <c r="A379" s="3">
        <f t="shared" si="36"/>
        <v>38</v>
      </c>
      <c r="B379" s="19">
        <v>39592</v>
      </c>
      <c r="C379" s="20">
        <v>0.625</v>
      </c>
      <c r="D379" s="4" t="s">
        <v>39</v>
      </c>
      <c r="E379" s="18"/>
      <c r="F379" s="18"/>
      <c r="G379" s="5" t="s">
        <v>3</v>
      </c>
      <c r="H379" s="21"/>
    </row>
    <row r="380" spans="1:8" ht="12.75" customHeight="1">
      <c r="A380" s="3">
        <f t="shared" si="36"/>
        <v>38</v>
      </c>
      <c r="B380" s="19">
        <v>39592</v>
      </c>
      <c r="C380" s="20">
        <v>0.625</v>
      </c>
      <c r="D380" s="4" t="s">
        <v>40</v>
      </c>
      <c r="E380" s="18"/>
      <c r="F380" s="18"/>
      <c r="G380" s="5" t="s">
        <v>48</v>
      </c>
      <c r="H380" s="21"/>
    </row>
    <row r="381" spans="1:8" ht="12.75" customHeight="1">
      <c r="A381" s="3">
        <f t="shared" si="36"/>
        <v>38</v>
      </c>
      <c r="B381" s="19">
        <v>39592</v>
      </c>
      <c r="C381" s="20">
        <v>0.625</v>
      </c>
      <c r="D381" s="4" t="s">
        <v>43</v>
      </c>
      <c r="E381" s="18"/>
      <c r="F381" s="18"/>
      <c r="G381" s="5" t="s">
        <v>53</v>
      </c>
      <c r="H381" s="21"/>
    </row>
    <row r="382" spans="1:8" ht="12.75" customHeight="1">
      <c r="A382" s="3">
        <f t="shared" si="36"/>
        <v>38</v>
      </c>
      <c r="B382" s="19">
        <v>39592</v>
      </c>
      <c r="C382" s="20">
        <v>0.625</v>
      </c>
      <c r="D382" s="4" t="s">
        <v>49</v>
      </c>
      <c r="E382" s="18"/>
      <c r="F382" s="18"/>
      <c r="G382" s="5" t="s">
        <v>1</v>
      </c>
      <c r="H382" s="21"/>
    </row>
  </sheetData>
  <sheetProtection/>
  <mergeCells count="2">
    <mergeCell ref="E2:F2"/>
    <mergeCell ref="H2:I2"/>
  </mergeCells>
  <conditionalFormatting sqref="E3:F382">
    <cfRule type="expression" priority="1" dxfId="10" stopIfTrue="1">
      <formula>ISBLANK(E3)</formula>
    </cfRule>
  </conditionalFormatting>
  <conditionalFormatting sqref="D3:D382">
    <cfRule type="expression" priority="2" dxfId="2" stopIfTrue="1">
      <formula>E3&gt;F3</formula>
    </cfRule>
  </conditionalFormatting>
  <conditionalFormatting sqref="G3:G382">
    <cfRule type="expression" priority="3" dxfId="2" stopIfTrue="1">
      <formula>F3&gt;E3</formula>
    </cfRule>
  </conditionalFormatting>
  <printOptions horizontalCentered="1"/>
  <pageMargins left="0.31" right="0.33" top="0.83" bottom="0.75" header="0.5" footer="0.36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7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9.140625" style="7" customWidth="1"/>
    <col min="2" max="2" width="3.00390625" style="11" bestFit="1" customWidth="1"/>
    <col min="3" max="3" width="22.00390625" style="11" customWidth="1"/>
    <col min="4" max="34" width="4.7109375" style="10" customWidth="1"/>
    <col min="35" max="45" width="9.140625" style="11" customWidth="1"/>
    <col min="46" max="16384" width="9.140625" style="7" customWidth="1"/>
  </cols>
  <sheetData>
    <row r="3" spans="2:33" ht="10.5">
      <c r="B3" s="11" t="s">
        <v>13</v>
      </c>
      <c r="C3" s="11" t="s">
        <v>4</v>
      </c>
      <c r="D3" s="10" t="s">
        <v>19</v>
      </c>
      <c r="E3" s="10" t="s">
        <v>14</v>
      </c>
      <c r="F3" s="10" t="s">
        <v>5</v>
      </c>
      <c r="G3" s="10" t="s">
        <v>6</v>
      </c>
      <c r="H3" s="10" t="s">
        <v>8</v>
      </c>
      <c r="I3" s="10" t="s">
        <v>7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5</v>
      </c>
      <c r="O3" s="10" t="s">
        <v>6</v>
      </c>
      <c r="P3" s="10" t="s">
        <v>8</v>
      </c>
      <c r="Q3" s="10" t="s">
        <v>7</v>
      </c>
      <c r="R3" s="10" t="s">
        <v>9</v>
      </c>
      <c r="S3" s="10" t="s">
        <v>10</v>
      </c>
      <c r="T3" s="10" t="s">
        <v>11</v>
      </c>
      <c r="U3" s="10" t="s">
        <v>12</v>
      </c>
      <c r="V3" s="10" t="s">
        <v>5</v>
      </c>
      <c r="W3" s="10" t="s">
        <v>6</v>
      </c>
      <c r="X3" s="10" t="s">
        <v>8</v>
      </c>
      <c r="Y3" s="10" t="s">
        <v>7</v>
      </c>
      <c r="Z3" s="10" t="s">
        <v>9</v>
      </c>
      <c r="AA3" s="10" t="s">
        <v>10</v>
      </c>
      <c r="AB3" s="10" t="s">
        <v>11</v>
      </c>
      <c r="AC3" s="10" t="s">
        <v>12</v>
      </c>
      <c r="AD3" s="10" t="s">
        <v>18</v>
      </c>
      <c r="AE3" s="10" t="s">
        <v>15</v>
      </c>
      <c r="AF3" s="10" t="s">
        <v>16</v>
      </c>
      <c r="AG3" s="10" t="s">
        <v>17</v>
      </c>
    </row>
    <row r="4" spans="1:33" ht="10.5">
      <c r="A4" s="12"/>
      <c r="B4" s="11">
        <f aca="true" t="shared" si="0" ref="B4:B23">AD4+AE4+AF4+AG4</f>
        <v>13</v>
      </c>
      <c r="C4" s="13" t="str">
        <f>IF('Initial Setup'!D3&lt;&gt;"",'Initial Setup'!E3,0)</f>
        <v>AC Milan</v>
      </c>
      <c r="D4" s="14">
        <f>'Initial Setup'!B2</f>
        <v>20</v>
      </c>
      <c r="E4" s="14">
        <f>COUNTIF('Fixtures and Results'!D:D,Setting!C4)+COUNTIF('Fixtures and Results'!G:G,Setting!C4)</f>
        <v>38</v>
      </c>
      <c r="F4" s="10">
        <f aca="true" t="shared" si="1" ref="F4:F23">G4+H4+I4</f>
        <v>11</v>
      </c>
      <c r="G4" s="10">
        <f aca="true" t="shared" si="2" ref="G4:G23">O4+W4</f>
        <v>4</v>
      </c>
      <c r="H4" s="10">
        <f aca="true" t="shared" si="3" ref="H4:H23">P4+X4</f>
        <v>3</v>
      </c>
      <c r="I4" s="10">
        <f aca="true" t="shared" si="4" ref="I4:I23">Q4+Y4</f>
        <v>4</v>
      </c>
      <c r="J4" s="10">
        <f aca="true" t="shared" si="5" ref="J4:J23">R4+Z4</f>
        <v>15</v>
      </c>
      <c r="K4" s="10">
        <f aca="true" t="shared" si="6" ref="K4:K23">S4+AA4</f>
        <v>16</v>
      </c>
      <c r="L4" s="10">
        <f aca="true" t="shared" si="7" ref="L4:L23">T4+AB4</f>
        <v>-1</v>
      </c>
      <c r="M4" s="10">
        <f>U4+AC4-ABS(Deduction!D3)</f>
        <v>15</v>
      </c>
      <c r="N4" s="10">
        <f aca="true" t="shared" si="8" ref="N4:N23">O4+P4+Q4</f>
        <v>5</v>
      </c>
      <c r="O4" s="10">
        <f>SUMPRODUCT(('Fixtures and Results'!D$3:D$382=Setting!C4)*('Fixtures and Results'!E$3:E$382&gt;'Fixtures and Results'!F$3:F$382))</f>
        <v>3</v>
      </c>
      <c r="P4" s="10">
        <f>SUMPRODUCT(('Fixtures and Results'!D$3:D$382=Setting!C4)*('Fixtures and Results'!E$3:E$382='Fixtures and Results'!F$3:F$382)*('Fixtures and Results'!E$3:E$382&lt;&gt;""))</f>
        <v>1</v>
      </c>
      <c r="Q4" s="10">
        <f>SUMPRODUCT(('Fixtures and Results'!D$3:D$382=Setting!C4)*('Fixtures and Results'!E$3:E$382&lt;'Fixtures and Results'!F$3:F$382))</f>
        <v>1</v>
      </c>
      <c r="R4" s="10">
        <f>SUMIF('Fixtures and Results'!D$3:D$382,Setting!C4,'Fixtures and Results'!E$3:E$382)</f>
        <v>9</v>
      </c>
      <c r="S4" s="10">
        <f>SUMIF('Fixtures and Results'!D$3:D$382,Setting!C4,'Fixtures and Results'!F$3:F$382)</f>
        <v>5</v>
      </c>
      <c r="T4" s="10">
        <f aca="true" t="shared" si="9" ref="T4:T23">R4-S4</f>
        <v>4</v>
      </c>
      <c r="U4" s="10">
        <f aca="true" t="shared" si="10" ref="U4:U23">O4*3+P4*1</f>
        <v>10</v>
      </c>
      <c r="V4" s="10">
        <f aca="true" t="shared" si="11" ref="V4:V23">W4+X4+Y4</f>
        <v>6</v>
      </c>
      <c r="W4" s="10">
        <f>SUMPRODUCT(('Fixtures and Results'!G$3:G$382=Setting!C4)*('Fixtures and Results'!E$3:E$382&lt;'Fixtures and Results'!F$3:F$382))</f>
        <v>1</v>
      </c>
      <c r="X4" s="10">
        <f>SUMPRODUCT(('Fixtures and Results'!G$3:G$382=Setting!C4)*('Fixtures and Results'!E$3:E$382='Fixtures and Results'!F$3:F$382)*('Fixtures and Results'!F$3:F$382&lt;&gt;""))</f>
        <v>2</v>
      </c>
      <c r="Y4" s="10">
        <f>SUMPRODUCT(('Fixtures and Results'!G$3:G$382=Setting!C4)*('Fixtures and Results'!E$3:E$382&gt;'Fixtures and Results'!F$3:F$382))</f>
        <v>3</v>
      </c>
      <c r="Z4" s="10">
        <f>SUMIF('Fixtures and Results'!G$3:G$382,Setting!C4,'Fixtures and Results'!F$3:F$382)</f>
        <v>6</v>
      </c>
      <c r="AA4" s="10">
        <f>SUMIF('Fixtures and Results'!G$3:G$382,Setting!C4,'Fixtures and Results'!E$3:E$382)</f>
        <v>11</v>
      </c>
      <c r="AB4" s="10">
        <f aca="true" t="shared" si="12" ref="AB4:AB23">Z4-AA4</f>
        <v>-5</v>
      </c>
      <c r="AC4" s="10">
        <f aca="true" t="shared" si="13" ref="AC4:AC23">W4*3+X4*1</f>
        <v>5</v>
      </c>
      <c r="AD4" s="10">
        <f aca="true" t="shared" si="14" ref="AD4:AD23">RANK(M4,M$4:M$23)</f>
        <v>13</v>
      </c>
      <c r="AE4" s="10">
        <f aca="true" t="shared" si="15" ref="AE4:AE23">SUMPRODUCT((M$4:M$23=M4)*(L$4:L$23&gt;L4))</f>
        <v>0</v>
      </c>
      <c r="AF4" s="10">
        <f aca="true" t="shared" si="16" ref="AF4:AF23">SUMPRODUCT((M$4:M$23=M4)*(L$4:L$23=L4)*(J$4:J$23&gt;J4))</f>
        <v>0</v>
      </c>
      <c r="AG4" s="10">
        <f>SUMPRODUCT((M$4:M$23=M4)*(L$4:L$23=L4)*(J$4:J$23=J4)*(D$4:D$23&gt;D4))</f>
        <v>0</v>
      </c>
    </row>
    <row r="5" spans="1:33" ht="10.5">
      <c r="A5" s="12"/>
      <c r="B5" s="11">
        <f t="shared" si="0"/>
        <v>9</v>
      </c>
      <c r="C5" s="13" t="str">
        <f>IF('Initial Setup'!D4&lt;&gt;"",'Initial Setup'!E4,0)</f>
        <v>Inter Milan</v>
      </c>
      <c r="D5" s="15">
        <f>D4-1</f>
        <v>19</v>
      </c>
      <c r="E5" s="14">
        <f>COUNTIF('Fixtures and Results'!D:D,Setting!C5)+COUNTIF('Fixtures and Results'!G:G,Setting!C5)</f>
        <v>38</v>
      </c>
      <c r="F5" s="10">
        <f t="shared" si="1"/>
        <v>10</v>
      </c>
      <c r="G5" s="10">
        <f t="shared" si="2"/>
        <v>5</v>
      </c>
      <c r="H5" s="10">
        <f t="shared" si="3"/>
        <v>1</v>
      </c>
      <c r="I5" s="10">
        <f t="shared" si="4"/>
        <v>4</v>
      </c>
      <c r="J5" s="10">
        <f t="shared" si="5"/>
        <v>14</v>
      </c>
      <c r="K5" s="10">
        <f t="shared" si="6"/>
        <v>13</v>
      </c>
      <c r="L5" s="10">
        <f t="shared" si="7"/>
        <v>1</v>
      </c>
      <c r="M5" s="10">
        <f>U5+AC5-ABS(Deduction!D4)</f>
        <v>16</v>
      </c>
      <c r="N5" s="10">
        <f t="shared" si="8"/>
        <v>5</v>
      </c>
      <c r="O5" s="10">
        <f>SUMPRODUCT(('Fixtures and Results'!D$3:D$382=Setting!C5)*('Fixtures and Results'!E$3:E$382&gt;'Fixtures and Results'!F$3:F$382))</f>
        <v>3</v>
      </c>
      <c r="P5" s="10">
        <f>SUMPRODUCT(('Fixtures and Results'!D$3:D$382=Setting!C5)*('Fixtures and Results'!E$3:E$382='Fixtures and Results'!F$3:F$382)*('Fixtures and Results'!E$3:E$382&lt;&gt;""))</f>
        <v>0</v>
      </c>
      <c r="Q5" s="10">
        <f>SUMPRODUCT(('Fixtures and Results'!D$3:D$382=Setting!C5)*('Fixtures and Results'!E$3:E$382&lt;'Fixtures and Results'!F$3:F$382))</f>
        <v>2</v>
      </c>
      <c r="R5" s="10">
        <f>SUMIF('Fixtures and Results'!D$3:D$382,Setting!C5,'Fixtures and Results'!E$3:E$382)</f>
        <v>8</v>
      </c>
      <c r="S5" s="10">
        <f>SUMIF('Fixtures and Results'!D$3:D$382,Setting!C5,'Fixtures and Results'!F$3:F$382)</f>
        <v>5</v>
      </c>
      <c r="T5" s="10">
        <f t="shared" si="9"/>
        <v>3</v>
      </c>
      <c r="U5" s="10">
        <f t="shared" si="10"/>
        <v>9</v>
      </c>
      <c r="V5" s="10">
        <f t="shared" si="11"/>
        <v>5</v>
      </c>
      <c r="W5" s="10">
        <f>SUMPRODUCT(('Fixtures and Results'!G$3:G$382=Setting!C5)*('Fixtures and Results'!E$3:E$382&lt;'Fixtures and Results'!F$3:F$382))</f>
        <v>2</v>
      </c>
      <c r="X5" s="10">
        <f>SUMPRODUCT(('Fixtures and Results'!G$3:G$382=Setting!C5)*('Fixtures and Results'!E$3:E$382='Fixtures and Results'!F$3:F$382)*('Fixtures and Results'!F$3:F$382&lt;&gt;""))</f>
        <v>1</v>
      </c>
      <c r="Y5" s="10">
        <f>SUMPRODUCT(('Fixtures and Results'!G$3:G$382=Setting!C5)*('Fixtures and Results'!E$3:E$382&gt;'Fixtures and Results'!F$3:F$382))</f>
        <v>2</v>
      </c>
      <c r="Z5" s="10">
        <f>SUMIF('Fixtures and Results'!G$3:G$382,Setting!C5,'Fixtures and Results'!F$3:F$382)</f>
        <v>6</v>
      </c>
      <c r="AA5" s="10">
        <f>SUMIF('Fixtures and Results'!G$3:G$382,Setting!C5,'Fixtures and Results'!E$3:E$382)</f>
        <v>8</v>
      </c>
      <c r="AB5" s="10">
        <f t="shared" si="12"/>
        <v>-2</v>
      </c>
      <c r="AC5" s="10">
        <f t="shared" si="13"/>
        <v>7</v>
      </c>
      <c r="AD5" s="10">
        <f t="shared" si="14"/>
        <v>7</v>
      </c>
      <c r="AE5" s="10">
        <f t="shared" si="15"/>
        <v>0</v>
      </c>
      <c r="AF5" s="10">
        <f t="shared" si="16"/>
        <v>2</v>
      </c>
      <c r="AG5" s="10">
        <f aca="true" t="shared" si="17" ref="AG5:AG23">SUMPRODUCT((M$4:M$23=M5)*(L$4:L$23=L5)*(J$4:J$23=J5)*(D$4:D$23&gt;D5))</f>
        <v>0</v>
      </c>
    </row>
    <row r="6" spans="1:33" ht="10.5">
      <c r="A6" s="12"/>
      <c r="B6" s="11">
        <f t="shared" si="0"/>
        <v>4</v>
      </c>
      <c r="C6" s="13" t="str">
        <f>IF('Initial Setup'!D5&lt;&gt;"",'Initial Setup'!E5,0)</f>
        <v>Juventus</v>
      </c>
      <c r="D6" s="15">
        <f aca="true" t="shared" si="18" ref="D6:D27">D5-1</f>
        <v>18</v>
      </c>
      <c r="E6" s="14">
        <f>COUNTIF('Fixtures and Results'!D:D,Setting!C6)+COUNTIF('Fixtures and Results'!G:G,Setting!C6)</f>
        <v>38</v>
      </c>
      <c r="F6" s="10">
        <f t="shared" si="1"/>
        <v>11</v>
      </c>
      <c r="G6" s="10">
        <f t="shared" si="2"/>
        <v>5</v>
      </c>
      <c r="H6" s="10">
        <f t="shared" si="3"/>
        <v>3</v>
      </c>
      <c r="I6" s="10">
        <f t="shared" si="4"/>
        <v>3</v>
      </c>
      <c r="J6" s="10">
        <f t="shared" si="5"/>
        <v>17</v>
      </c>
      <c r="K6" s="10">
        <f t="shared" si="6"/>
        <v>14</v>
      </c>
      <c r="L6" s="10">
        <f t="shared" si="7"/>
        <v>3</v>
      </c>
      <c r="M6" s="10">
        <f>U6+AC6-ABS(Deduction!D5)</f>
        <v>18</v>
      </c>
      <c r="N6" s="10">
        <f t="shared" si="8"/>
        <v>6</v>
      </c>
      <c r="O6" s="10">
        <f>SUMPRODUCT(('Fixtures and Results'!D$3:D$382=Setting!C6)*('Fixtures and Results'!E$3:E$382&gt;'Fixtures and Results'!F$3:F$382))</f>
        <v>3</v>
      </c>
      <c r="P6" s="10">
        <f>SUMPRODUCT(('Fixtures and Results'!D$3:D$382=Setting!C6)*('Fixtures and Results'!E$3:E$382='Fixtures and Results'!F$3:F$382)*('Fixtures and Results'!E$3:E$382&lt;&gt;""))</f>
        <v>2</v>
      </c>
      <c r="Q6" s="10">
        <f>SUMPRODUCT(('Fixtures and Results'!D$3:D$382=Setting!C6)*('Fixtures and Results'!E$3:E$382&lt;'Fixtures and Results'!F$3:F$382))</f>
        <v>1</v>
      </c>
      <c r="R6" s="10">
        <f>SUMIF('Fixtures and Results'!D$3:D$382,Setting!C6,'Fixtures and Results'!E$3:E$382)</f>
        <v>11</v>
      </c>
      <c r="S6" s="10">
        <f>SUMIF('Fixtures and Results'!D$3:D$382,Setting!C6,'Fixtures and Results'!F$3:F$382)</f>
        <v>6</v>
      </c>
      <c r="T6" s="10">
        <f t="shared" si="9"/>
        <v>5</v>
      </c>
      <c r="U6" s="10">
        <f t="shared" si="10"/>
        <v>11</v>
      </c>
      <c r="V6" s="10">
        <f t="shared" si="11"/>
        <v>5</v>
      </c>
      <c r="W6" s="10">
        <f>SUMPRODUCT(('Fixtures and Results'!G$3:G$382=Setting!C6)*('Fixtures and Results'!E$3:E$382&lt;'Fixtures and Results'!F$3:F$382))</f>
        <v>2</v>
      </c>
      <c r="X6" s="10">
        <f>SUMPRODUCT(('Fixtures and Results'!G$3:G$382=Setting!C6)*('Fixtures and Results'!E$3:E$382='Fixtures and Results'!F$3:F$382)*('Fixtures and Results'!F$3:F$382&lt;&gt;""))</f>
        <v>1</v>
      </c>
      <c r="Y6" s="10">
        <f>SUMPRODUCT(('Fixtures and Results'!G$3:G$382=Setting!C6)*('Fixtures and Results'!E$3:E$382&gt;'Fixtures and Results'!F$3:F$382))</f>
        <v>2</v>
      </c>
      <c r="Z6" s="10">
        <f>SUMIF('Fixtures and Results'!G$3:G$382,Setting!C6,'Fixtures and Results'!F$3:F$382)</f>
        <v>6</v>
      </c>
      <c r="AA6" s="10">
        <f>SUMIF('Fixtures and Results'!G$3:G$382,Setting!C6,'Fixtures and Results'!E$3:E$382)</f>
        <v>8</v>
      </c>
      <c r="AB6" s="10">
        <f t="shared" si="12"/>
        <v>-2</v>
      </c>
      <c r="AC6" s="10">
        <f t="shared" si="13"/>
        <v>7</v>
      </c>
      <c r="AD6" s="10">
        <f t="shared" si="14"/>
        <v>4</v>
      </c>
      <c r="AE6" s="10">
        <f t="shared" si="15"/>
        <v>0</v>
      </c>
      <c r="AF6" s="10">
        <f t="shared" si="16"/>
        <v>0</v>
      </c>
      <c r="AG6" s="10">
        <f t="shared" si="17"/>
        <v>0</v>
      </c>
    </row>
    <row r="7" spans="2:33" ht="10.5">
      <c r="B7" s="11">
        <f t="shared" si="0"/>
        <v>7</v>
      </c>
      <c r="C7" s="13" t="str">
        <f>IF('Initial Setup'!D6&lt;&gt;"",'Initial Setup'!E6,0)</f>
        <v>AS Roma</v>
      </c>
      <c r="D7" s="15">
        <f t="shared" si="18"/>
        <v>17</v>
      </c>
      <c r="E7" s="14">
        <f>COUNTIF('Fixtures and Results'!D:D,Setting!C7)+COUNTIF('Fixtures and Results'!G:G,Setting!C7)</f>
        <v>38</v>
      </c>
      <c r="F7" s="10">
        <f t="shared" si="1"/>
        <v>11</v>
      </c>
      <c r="G7" s="10">
        <f t="shared" si="2"/>
        <v>5</v>
      </c>
      <c r="H7" s="10">
        <f t="shared" si="3"/>
        <v>1</v>
      </c>
      <c r="I7" s="10">
        <f t="shared" si="4"/>
        <v>5</v>
      </c>
      <c r="J7" s="10">
        <f t="shared" si="5"/>
        <v>15</v>
      </c>
      <c r="K7" s="10">
        <f t="shared" si="6"/>
        <v>14</v>
      </c>
      <c r="L7" s="10">
        <f t="shared" si="7"/>
        <v>1</v>
      </c>
      <c r="M7" s="10">
        <f>U7+AC7-ABS(Deduction!D6)</f>
        <v>16</v>
      </c>
      <c r="N7" s="10">
        <f t="shared" si="8"/>
        <v>6</v>
      </c>
      <c r="O7" s="10">
        <f>SUMPRODUCT(('Fixtures and Results'!D$3:D$382=Setting!C7)*('Fixtures and Results'!E$3:E$382&gt;'Fixtures and Results'!F$3:F$382))</f>
        <v>4</v>
      </c>
      <c r="P7" s="10">
        <f>SUMPRODUCT(('Fixtures and Results'!D$3:D$382=Setting!C7)*('Fixtures and Results'!E$3:E$382='Fixtures and Results'!F$3:F$382)*('Fixtures and Results'!E$3:E$382&lt;&gt;""))</f>
        <v>0</v>
      </c>
      <c r="Q7" s="10">
        <f>SUMPRODUCT(('Fixtures and Results'!D$3:D$382=Setting!C7)*('Fixtures and Results'!E$3:E$382&lt;'Fixtures and Results'!F$3:F$382))</f>
        <v>2</v>
      </c>
      <c r="R7" s="10">
        <f>SUMIF('Fixtures and Results'!D$3:D$382,Setting!C7,'Fixtures and Results'!E$3:E$382)</f>
        <v>10</v>
      </c>
      <c r="S7" s="10">
        <f>SUMIF('Fixtures and Results'!D$3:D$382,Setting!C7,'Fixtures and Results'!F$3:F$382)</f>
        <v>5</v>
      </c>
      <c r="T7" s="10">
        <f t="shared" si="9"/>
        <v>5</v>
      </c>
      <c r="U7" s="10">
        <f t="shared" si="10"/>
        <v>12</v>
      </c>
      <c r="V7" s="10">
        <f t="shared" si="11"/>
        <v>5</v>
      </c>
      <c r="W7" s="10">
        <f>SUMPRODUCT(('Fixtures and Results'!G$3:G$382=Setting!C7)*('Fixtures and Results'!E$3:E$382&lt;'Fixtures and Results'!F$3:F$382))</f>
        <v>1</v>
      </c>
      <c r="X7" s="10">
        <f>SUMPRODUCT(('Fixtures and Results'!G$3:G$382=Setting!C7)*('Fixtures and Results'!E$3:E$382='Fixtures and Results'!F$3:F$382)*('Fixtures and Results'!F$3:F$382&lt;&gt;""))</f>
        <v>1</v>
      </c>
      <c r="Y7" s="10">
        <f>SUMPRODUCT(('Fixtures and Results'!G$3:G$382=Setting!C7)*('Fixtures and Results'!E$3:E$382&gt;'Fixtures and Results'!F$3:F$382))</f>
        <v>3</v>
      </c>
      <c r="Z7" s="10">
        <f>SUMIF('Fixtures and Results'!G$3:G$382,Setting!C7,'Fixtures and Results'!F$3:F$382)</f>
        <v>5</v>
      </c>
      <c r="AA7" s="10">
        <f>SUMIF('Fixtures and Results'!G$3:G$382,Setting!C7,'Fixtures and Results'!E$3:E$382)</f>
        <v>9</v>
      </c>
      <c r="AB7" s="10">
        <f t="shared" si="12"/>
        <v>-4</v>
      </c>
      <c r="AC7" s="10">
        <f t="shared" si="13"/>
        <v>4</v>
      </c>
      <c r="AD7" s="10">
        <f t="shared" si="14"/>
        <v>7</v>
      </c>
      <c r="AE7" s="10">
        <f t="shared" si="15"/>
        <v>0</v>
      </c>
      <c r="AF7" s="10">
        <f t="shared" si="16"/>
        <v>0</v>
      </c>
      <c r="AG7" s="10">
        <f t="shared" si="17"/>
        <v>0</v>
      </c>
    </row>
    <row r="8" spans="2:33" ht="10.5">
      <c r="B8" s="11">
        <f t="shared" si="0"/>
        <v>16</v>
      </c>
      <c r="C8" s="13" t="str">
        <f>IF('Initial Setup'!D7&lt;&gt;"",'Initial Setup'!E7,0)</f>
        <v>Manchester United</v>
      </c>
      <c r="D8" s="15">
        <f t="shared" si="18"/>
        <v>16</v>
      </c>
      <c r="E8" s="14">
        <f>COUNTIF('Fixtures and Results'!D:D,Setting!C8)+COUNTIF('Fixtures and Results'!G:G,Setting!C8)</f>
        <v>38</v>
      </c>
      <c r="F8" s="10">
        <f t="shared" si="1"/>
        <v>11</v>
      </c>
      <c r="G8" s="10">
        <f t="shared" si="2"/>
        <v>4</v>
      </c>
      <c r="H8" s="10">
        <f t="shared" si="3"/>
        <v>2</v>
      </c>
      <c r="I8" s="10">
        <f t="shared" si="4"/>
        <v>5</v>
      </c>
      <c r="J8" s="10">
        <f t="shared" si="5"/>
        <v>15</v>
      </c>
      <c r="K8" s="10">
        <f t="shared" si="6"/>
        <v>15</v>
      </c>
      <c r="L8" s="10">
        <f t="shared" si="7"/>
        <v>0</v>
      </c>
      <c r="M8" s="10">
        <f>U8+AC8-ABS(Deduction!D7)</f>
        <v>14</v>
      </c>
      <c r="N8" s="10">
        <f t="shared" si="8"/>
        <v>6</v>
      </c>
      <c r="O8" s="10">
        <f>SUMPRODUCT(('Fixtures and Results'!D$3:D$382=Setting!C8)*('Fixtures and Results'!E$3:E$382&gt;'Fixtures and Results'!F$3:F$382))</f>
        <v>3</v>
      </c>
      <c r="P8" s="10">
        <f>SUMPRODUCT(('Fixtures and Results'!D$3:D$382=Setting!C8)*('Fixtures and Results'!E$3:E$382='Fixtures and Results'!F$3:F$382)*('Fixtures and Results'!E$3:E$382&lt;&gt;""))</f>
        <v>1</v>
      </c>
      <c r="Q8" s="10">
        <f>SUMPRODUCT(('Fixtures and Results'!D$3:D$382=Setting!C8)*('Fixtures and Results'!E$3:E$382&lt;'Fixtures and Results'!F$3:F$382))</f>
        <v>2</v>
      </c>
      <c r="R8" s="10">
        <f>SUMIF('Fixtures and Results'!D$3:D$382,Setting!C8,'Fixtures and Results'!E$3:E$382)</f>
        <v>10</v>
      </c>
      <c r="S8" s="10">
        <f>SUMIF('Fixtures and Results'!D$3:D$382,Setting!C8,'Fixtures and Results'!F$3:F$382)</f>
        <v>6</v>
      </c>
      <c r="T8" s="10">
        <f t="shared" si="9"/>
        <v>4</v>
      </c>
      <c r="U8" s="10">
        <f t="shared" si="10"/>
        <v>10</v>
      </c>
      <c r="V8" s="10">
        <f t="shared" si="11"/>
        <v>5</v>
      </c>
      <c r="W8" s="10">
        <f>SUMPRODUCT(('Fixtures and Results'!G$3:G$382=Setting!C8)*('Fixtures and Results'!E$3:E$382&lt;'Fixtures and Results'!F$3:F$382))</f>
        <v>1</v>
      </c>
      <c r="X8" s="10">
        <f>SUMPRODUCT(('Fixtures and Results'!G$3:G$382=Setting!C8)*('Fixtures and Results'!E$3:E$382='Fixtures and Results'!F$3:F$382)*('Fixtures and Results'!F$3:F$382&lt;&gt;""))</f>
        <v>1</v>
      </c>
      <c r="Y8" s="10">
        <f>SUMPRODUCT(('Fixtures and Results'!G$3:G$382=Setting!C8)*('Fixtures and Results'!E$3:E$382&gt;'Fixtures and Results'!F$3:F$382))</f>
        <v>3</v>
      </c>
      <c r="Z8" s="10">
        <f>SUMIF('Fixtures and Results'!G$3:G$382,Setting!C8,'Fixtures and Results'!F$3:F$382)</f>
        <v>5</v>
      </c>
      <c r="AA8" s="10">
        <f>SUMIF('Fixtures and Results'!G$3:G$382,Setting!C8,'Fixtures and Results'!E$3:E$382)</f>
        <v>9</v>
      </c>
      <c r="AB8" s="10">
        <f t="shared" si="12"/>
        <v>-4</v>
      </c>
      <c r="AC8" s="10">
        <f t="shared" si="13"/>
        <v>4</v>
      </c>
      <c r="AD8" s="10">
        <f t="shared" si="14"/>
        <v>16</v>
      </c>
      <c r="AE8" s="10">
        <f t="shared" si="15"/>
        <v>0</v>
      </c>
      <c r="AF8" s="10">
        <f t="shared" si="16"/>
        <v>0</v>
      </c>
      <c r="AG8" s="10">
        <f t="shared" si="17"/>
        <v>0</v>
      </c>
    </row>
    <row r="9" spans="2:33" ht="10.5">
      <c r="B9" s="11">
        <f t="shared" si="0"/>
        <v>8</v>
      </c>
      <c r="C9" s="13" t="str">
        <f>IF('Initial Setup'!D8&lt;&gt;"",'Initial Setup'!E8,0)</f>
        <v>Chelsea</v>
      </c>
      <c r="D9" s="15">
        <f t="shared" si="18"/>
        <v>15</v>
      </c>
      <c r="E9" s="14">
        <f>COUNTIF('Fixtures and Results'!D:D,Setting!C9)+COUNTIF('Fixtures and Results'!G:G,Setting!C9)</f>
        <v>38</v>
      </c>
      <c r="F9" s="10">
        <f t="shared" si="1"/>
        <v>11</v>
      </c>
      <c r="G9" s="10">
        <f t="shared" si="2"/>
        <v>5</v>
      </c>
      <c r="H9" s="10">
        <f t="shared" si="3"/>
        <v>1</v>
      </c>
      <c r="I9" s="10">
        <f t="shared" si="4"/>
        <v>5</v>
      </c>
      <c r="J9" s="10">
        <f t="shared" si="5"/>
        <v>15</v>
      </c>
      <c r="K9" s="10">
        <f t="shared" si="6"/>
        <v>14</v>
      </c>
      <c r="L9" s="10">
        <f t="shared" si="7"/>
        <v>1</v>
      </c>
      <c r="M9" s="10">
        <f>U9+AC9-ABS(Deduction!D8)</f>
        <v>16</v>
      </c>
      <c r="N9" s="10">
        <f t="shared" si="8"/>
        <v>6</v>
      </c>
      <c r="O9" s="10">
        <f>SUMPRODUCT(('Fixtures and Results'!D$3:D$382=Setting!C9)*('Fixtures and Results'!E$3:E$382&gt;'Fixtures and Results'!F$3:F$382))</f>
        <v>3</v>
      </c>
      <c r="P9" s="10">
        <f>SUMPRODUCT(('Fixtures and Results'!D$3:D$382=Setting!C9)*('Fixtures and Results'!E$3:E$382='Fixtures and Results'!F$3:F$382)*('Fixtures and Results'!E$3:E$382&lt;&gt;""))</f>
        <v>1</v>
      </c>
      <c r="Q9" s="10">
        <f>SUMPRODUCT(('Fixtures and Results'!D$3:D$382=Setting!C9)*('Fixtures and Results'!E$3:E$382&lt;'Fixtures and Results'!F$3:F$382))</f>
        <v>2</v>
      </c>
      <c r="R9" s="10">
        <f>SUMIF('Fixtures and Results'!D$3:D$382,Setting!C9,'Fixtures and Results'!E$3:E$382)</f>
        <v>10</v>
      </c>
      <c r="S9" s="10">
        <f>SUMIF('Fixtures and Results'!D$3:D$382,Setting!C9,'Fixtures and Results'!F$3:F$382)</f>
        <v>6</v>
      </c>
      <c r="T9" s="10">
        <f t="shared" si="9"/>
        <v>4</v>
      </c>
      <c r="U9" s="10">
        <f t="shared" si="10"/>
        <v>10</v>
      </c>
      <c r="V9" s="10">
        <f t="shared" si="11"/>
        <v>5</v>
      </c>
      <c r="W9" s="10">
        <f>SUMPRODUCT(('Fixtures and Results'!G$3:G$382=Setting!C9)*('Fixtures and Results'!E$3:E$382&lt;'Fixtures and Results'!F$3:F$382))</f>
        <v>2</v>
      </c>
      <c r="X9" s="10">
        <f>SUMPRODUCT(('Fixtures and Results'!G$3:G$382=Setting!C9)*('Fixtures and Results'!E$3:E$382='Fixtures and Results'!F$3:F$382)*('Fixtures and Results'!F$3:F$382&lt;&gt;""))</f>
        <v>0</v>
      </c>
      <c r="Y9" s="10">
        <f>SUMPRODUCT(('Fixtures and Results'!G$3:G$382=Setting!C9)*('Fixtures and Results'!E$3:E$382&gt;'Fixtures and Results'!F$3:F$382))</f>
        <v>3</v>
      </c>
      <c r="Z9" s="10">
        <f>SUMIF('Fixtures and Results'!G$3:G$382,Setting!C9,'Fixtures and Results'!F$3:F$382)</f>
        <v>5</v>
      </c>
      <c r="AA9" s="10">
        <f>SUMIF('Fixtures and Results'!G$3:G$382,Setting!C9,'Fixtures and Results'!E$3:E$382)</f>
        <v>8</v>
      </c>
      <c r="AB9" s="10">
        <f t="shared" si="12"/>
        <v>-3</v>
      </c>
      <c r="AC9" s="10">
        <f t="shared" si="13"/>
        <v>6</v>
      </c>
      <c r="AD9" s="10">
        <f t="shared" si="14"/>
        <v>7</v>
      </c>
      <c r="AE9" s="10">
        <f t="shared" si="15"/>
        <v>0</v>
      </c>
      <c r="AF9" s="10">
        <f t="shared" si="16"/>
        <v>0</v>
      </c>
      <c r="AG9" s="10">
        <f t="shared" si="17"/>
        <v>1</v>
      </c>
    </row>
    <row r="10" spans="2:33" ht="10.5">
      <c r="B10" s="11">
        <f t="shared" si="0"/>
        <v>5</v>
      </c>
      <c r="C10" s="13" t="str">
        <f>IF('Initial Setup'!D9&lt;&gt;"",'Initial Setup'!E9,0)</f>
        <v>Arsenal</v>
      </c>
      <c r="D10" s="15">
        <f t="shared" si="18"/>
        <v>14</v>
      </c>
      <c r="E10" s="14">
        <f>COUNTIF('Fixtures and Results'!D:D,Setting!C10)+COUNTIF('Fixtures and Results'!G:G,Setting!C10)</f>
        <v>38</v>
      </c>
      <c r="F10" s="10">
        <f t="shared" si="1"/>
        <v>11</v>
      </c>
      <c r="G10" s="10">
        <f t="shared" si="2"/>
        <v>5</v>
      </c>
      <c r="H10" s="10">
        <f t="shared" si="3"/>
        <v>2</v>
      </c>
      <c r="I10" s="10">
        <f t="shared" si="4"/>
        <v>4</v>
      </c>
      <c r="J10" s="10">
        <f t="shared" si="5"/>
        <v>16</v>
      </c>
      <c r="K10" s="10">
        <f t="shared" si="6"/>
        <v>14</v>
      </c>
      <c r="L10" s="10">
        <f t="shared" si="7"/>
        <v>2</v>
      </c>
      <c r="M10" s="10">
        <f>U10+AC10-ABS(Deduction!D9)</f>
        <v>17</v>
      </c>
      <c r="N10" s="10">
        <f t="shared" si="8"/>
        <v>6</v>
      </c>
      <c r="O10" s="10">
        <f>SUMPRODUCT(('Fixtures and Results'!D$3:D$382=Setting!C10)*('Fixtures and Results'!E$3:E$382&gt;'Fixtures and Results'!F$3:F$382))</f>
        <v>3</v>
      </c>
      <c r="P10" s="10">
        <f>SUMPRODUCT(('Fixtures and Results'!D$3:D$382=Setting!C10)*('Fixtures and Results'!E$3:E$382='Fixtures and Results'!F$3:F$382)*('Fixtures and Results'!E$3:E$382&lt;&gt;""))</f>
        <v>1</v>
      </c>
      <c r="Q10" s="10">
        <f>SUMPRODUCT(('Fixtures and Results'!D$3:D$382=Setting!C10)*('Fixtures and Results'!E$3:E$382&lt;'Fixtures and Results'!F$3:F$382))</f>
        <v>2</v>
      </c>
      <c r="R10" s="10">
        <f>SUMIF('Fixtures and Results'!D$3:D$382,Setting!C10,'Fixtures and Results'!E$3:E$382)</f>
        <v>10</v>
      </c>
      <c r="S10" s="10">
        <f>SUMIF('Fixtures and Results'!D$3:D$382,Setting!C10,'Fixtures and Results'!F$3:F$382)</f>
        <v>6</v>
      </c>
      <c r="T10" s="10">
        <f t="shared" si="9"/>
        <v>4</v>
      </c>
      <c r="U10" s="10">
        <f t="shared" si="10"/>
        <v>10</v>
      </c>
      <c r="V10" s="10">
        <f t="shared" si="11"/>
        <v>5</v>
      </c>
      <c r="W10" s="10">
        <f>SUMPRODUCT(('Fixtures and Results'!G$3:G$382=Setting!C10)*('Fixtures and Results'!E$3:E$382&lt;'Fixtures and Results'!F$3:F$382))</f>
        <v>2</v>
      </c>
      <c r="X10" s="10">
        <f>SUMPRODUCT(('Fixtures and Results'!G$3:G$382=Setting!C10)*('Fixtures and Results'!E$3:E$382='Fixtures and Results'!F$3:F$382)*('Fixtures and Results'!F$3:F$382&lt;&gt;""))</f>
        <v>1</v>
      </c>
      <c r="Y10" s="10">
        <f>SUMPRODUCT(('Fixtures and Results'!G$3:G$382=Setting!C10)*('Fixtures and Results'!E$3:E$382&gt;'Fixtures and Results'!F$3:F$382))</f>
        <v>2</v>
      </c>
      <c r="Z10" s="10">
        <f>SUMIF('Fixtures and Results'!G$3:G$382,Setting!C10,'Fixtures and Results'!F$3:F$382)</f>
        <v>6</v>
      </c>
      <c r="AA10" s="10">
        <f>SUMIF('Fixtures and Results'!G$3:G$382,Setting!C10,'Fixtures and Results'!E$3:E$382)</f>
        <v>8</v>
      </c>
      <c r="AB10" s="10">
        <f t="shared" si="12"/>
        <v>-2</v>
      </c>
      <c r="AC10" s="10">
        <f t="shared" si="13"/>
        <v>7</v>
      </c>
      <c r="AD10" s="10">
        <f t="shared" si="14"/>
        <v>5</v>
      </c>
      <c r="AE10" s="10">
        <f t="shared" si="15"/>
        <v>0</v>
      </c>
      <c r="AF10" s="10">
        <f t="shared" si="16"/>
        <v>0</v>
      </c>
      <c r="AG10" s="10">
        <f t="shared" si="17"/>
        <v>0</v>
      </c>
    </row>
    <row r="11" spans="2:33" ht="10.5">
      <c r="B11" s="11">
        <f t="shared" si="0"/>
        <v>6</v>
      </c>
      <c r="C11" s="13" t="str">
        <f>IF('Initial Setup'!D10&lt;&gt;"",'Initial Setup'!E10,0)</f>
        <v>Liverpool</v>
      </c>
      <c r="D11" s="15">
        <f t="shared" si="18"/>
        <v>13</v>
      </c>
      <c r="E11" s="14">
        <f>COUNTIF('Fixtures and Results'!D:D,Setting!C11)+COUNTIF('Fixtures and Results'!G:G,Setting!C11)</f>
        <v>38</v>
      </c>
      <c r="F11" s="10">
        <f t="shared" si="1"/>
        <v>11</v>
      </c>
      <c r="G11" s="10">
        <f t="shared" si="2"/>
        <v>5</v>
      </c>
      <c r="H11" s="10">
        <f t="shared" si="3"/>
        <v>2</v>
      </c>
      <c r="I11" s="10">
        <f t="shared" si="4"/>
        <v>4</v>
      </c>
      <c r="J11" s="10">
        <f t="shared" si="5"/>
        <v>16</v>
      </c>
      <c r="K11" s="10">
        <f t="shared" si="6"/>
        <v>14</v>
      </c>
      <c r="L11" s="10">
        <f t="shared" si="7"/>
        <v>2</v>
      </c>
      <c r="M11" s="10">
        <f>U11+AC11-ABS(Deduction!D10)</f>
        <v>17</v>
      </c>
      <c r="N11" s="10">
        <f t="shared" si="8"/>
        <v>6</v>
      </c>
      <c r="O11" s="10">
        <f>SUMPRODUCT(('Fixtures and Results'!D$3:D$382=Setting!C11)*('Fixtures and Results'!E$3:E$382&gt;'Fixtures and Results'!F$3:F$382))</f>
        <v>4</v>
      </c>
      <c r="P11" s="10">
        <f>SUMPRODUCT(('Fixtures and Results'!D$3:D$382=Setting!C11)*('Fixtures and Results'!E$3:E$382='Fixtures and Results'!F$3:F$382)*('Fixtures and Results'!E$3:E$382&lt;&gt;""))</f>
        <v>1</v>
      </c>
      <c r="Q11" s="10">
        <f>SUMPRODUCT(('Fixtures and Results'!D$3:D$382=Setting!C11)*('Fixtures and Results'!E$3:E$382&lt;'Fixtures and Results'!F$3:F$382))</f>
        <v>1</v>
      </c>
      <c r="R11" s="10">
        <f>SUMIF('Fixtures and Results'!D$3:D$382,Setting!C11,'Fixtures and Results'!E$3:E$382)</f>
        <v>11</v>
      </c>
      <c r="S11" s="10">
        <f>SUMIF('Fixtures and Results'!D$3:D$382,Setting!C11,'Fixtures and Results'!F$3:F$382)</f>
        <v>5</v>
      </c>
      <c r="T11" s="10">
        <f t="shared" si="9"/>
        <v>6</v>
      </c>
      <c r="U11" s="10">
        <f t="shared" si="10"/>
        <v>13</v>
      </c>
      <c r="V11" s="10">
        <f t="shared" si="11"/>
        <v>5</v>
      </c>
      <c r="W11" s="10">
        <f>SUMPRODUCT(('Fixtures and Results'!G$3:G$382=Setting!C11)*('Fixtures and Results'!E$3:E$382&lt;'Fixtures and Results'!F$3:F$382))</f>
        <v>1</v>
      </c>
      <c r="X11" s="10">
        <f>SUMPRODUCT(('Fixtures and Results'!G$3:G$382=Setting!C11)*('Fixtures and Results'!E$3:E$382='Fixtures and Results'!F$3:F$382)*('Fixtures and Results'!F$3:F$382&lt;&gt;""))</f>
        <v>1</v>
      </c>
      <c r="Y11" s="10">
        <f>SUMPRODUCT(('Fixtures and Results'!G$3:G$382=Setting!C11)*('Fixtures and Results'!E$3:E$382&gt;'Fixtures and Results'!F$3:F$382))</f>
        <v>3</v>
      </c>
      <c r="Z11" s="10">
        <f>SUMIF('Fixtures and Results'!G$3:G$382,Setting!C11,'Fixtures and Results'!F$3:F$382)</f>
        <v>5</v>
      </c>
      <c r="AA11" s="10">
        <f>SUMIF('Fixtures and Results'!G$3:G$382,Setting!C11,'Fixtures and Results'!E$3:E$382)</f>
        <v>9</v>
      </c>
      <c r="AB11" s="10">
        <f t="shared" si="12"/>
        <v>-4</v>
      </c>
      <c r="AC11" s="10">
        <f t="shared" si="13"/>
        <v>4</v>
      </c>
      <c r="AD11" s="10">
        <f t="shared" si="14"/>
        <v>5</v>
      </c>
      <c r="AE11" s="10">
        <f t="shared" si="15"/>
        <v>0</v>
      </c>
      <c r="AF11" s="10">
        <f t="shared" si="16"/>
        <v>0</v>
      </c>
      <c r="AG11" s="10">
        <f t="shared" si="17"/>
        <v>1</v>
      </c>
    </row>
    <row r="12" spans="2:33" ht="10.5">
      <c r="B12" s="11">
        <f t="shared" si="0"/>
        <v>18</v>
      </c>
      <c r="C12" s="13" t="str">
        <f>IF('Initial Setup'!D11&lt;&gt;"",'Initial Setup'!E11,0)</f>
        <v>Barcelona</v>
      </c>
      <c r="D12" s="15">
        <f t="shared" si="18"/>
        <v>12</v>
      </c>
      <c r="E12" s="14">
        <f>COUNTIF('Fixtures and Results'!D:D,Setting!C12)+COUNTIF('Fixtures and Results'!G:G,Setting!C12)</f>
        <v>38</v>
      </c>
      <c r="F12" s="10">
        <f t="shared" si="1"/>
        <v>11</v>
      </c>
      <c r="G12" s="10">
        <f t="shared" si="2"/>
        <v>4</v>
      </c>
      <c r="H12" s="10">
        <f t="shared" si="3"/>
        <v>0</v>
      </c>
      <c r="I12" s="10">
        <f t="shared" si="4"/>
        <v>7</v>
      </c>
      <c r="J12" s="10">
        <f t="shared" si="5"/>
        <v>12</v>
      </c>
      <c r="K12" s="10">
        <f t="shared" si="6"/>
        <v>16</v>
      </c>
      <c r="L12" s="10">
        <f t="shared" si="7"/>
        <v>-4</v>
      </c>
      <c r="M12" s="10">
        <f>U12+AC12-ABS(Deduction!D11)</f>
        <v>12</v>
      </c>
      <c r="N12" s="10">
        <f t="shared" si="8"/>
        <v>5</v>
      </c>
      <c r="O12" s="10">
        <f>SUMPRODUCT(('Fixtures and Results'!D$3:D$382=Setting!C12)*('Fixtures and Results'!E$3:E$382&gt;'Fixtures and Results'!F$3:F$382))</f>
        <v>3</v>
      </c>
      <c r="P12" s="10">
        <f>SUMPRODUCT(('Fixtures and Results'!D$3:D$382=Setting!C12)*('Fixtures and Results'!E$3:E$382='Fixtures and Results'!F$3:F$382)*('Fixtures and Results'!E$3:E$382&lt;&gt;""))</f>
        <v>0</v>
      </c>
      <c r="Q12" s="10">
        <f>SUMPRODUCT(('Fixtures and Results'!D$3:D$382=Setting!C12)*('Fixtures and Results'!E$3:E$382&lt;'Fixtures and Results'!F$3:F$382))</f>
        <v>2</v>
      </c>
      <c r="R12" s="10">
        <f>SUMIF('Fixtures and Results'!D$3:D$382,Setting!C12,'Fixtures and Results'!E$3:E$382)</f>
        <v>8</v>
      </c>
      <c r="S12" s="10">
        <f>SUMIF('Fixtures and Results'!D$3:D$382,Setting!C12,'Fixtures and Results'!F$3:F$382)</f>
        <v>5</v>
      </c>
      <c r="T12" s="10">
        <f t="shared" si="9"/>
        <v>3</v>
      </c>
      <c r="U12" s="10">
        <f t="shared" si="10"/>
        <v>9</v>
      </c>
      <c r="V12" s="10">
        <f t="shared" si="11"/>
        <v>6</v>
      </c>
      <c r="W12" s="10">
        <f>SUMPRODUCT(('Fixtures and Results'!G$3:G$382=Setting!C12)*('Fixtures and Results'!E$3:E$382&lt;'Fixtures and Results'!F$3:F$382))</f>
        <v>1</v>
      </c>
      <c r="X12" s="10">
        <f>SUMPRODUCT(('Fixtures and Results'!G$3:G$382=Setting!C12)*('Fixtures and Results'!E$3:E$382='Fixtures and Results'!F$3:F$382)*('Fixtures and Results'!F$3:F$382&lt;&gt;""))</f>
        <v>0</v>
      </c>
      <c r="Y12" s="10">
        <f>SUMPRODUCT(('Fixtures and Results'!G$3:G$382=Setting!C12)*('Fixtures and Results'!E$3:E$382&gt;'Fixtures and Results'!F$3:F$382))</f>
        <v>5</v>
      </c>
      <c r="Z12" s="10">
        <f>SUMIF('Fixtures and Results'!G$3:G$382,Setting!C12,'Fixtures and Results'!F$3:F$382)</f>
        <v>4</v>
      </c>
      <c r="AA12" s="10">
        <f>SUMIF('Fixtures and Results'!G$3:G$382,Setting!C12,'Fixtures and Results'!E$3:E$382)</f>
        <v>11</v>
      </c>
      <c r="AB12" s="10">
        <f t="shared" si="12"/>
        <v>-7</v>
      </c>
      <c r="AC12" s="10">
        <f t="shared" si="13"/>
        <v>3</v>
      </c>
      <c r="AD12" s="10">
        <f t="shared" si="14"/>
        <v>17</v>
      </c>
      <c r="AE12" s="10">
        <f t="shared" si="15"/>
        <v>1</v>
      </c>
      <c r="AF12" s="10">
        <f t="shared" si="16"/>
        <v>0</v>
      </c>
      <c r="AG12" s="10">
        <f t="shared" si="17"/>
        <v>0</v>
      </c>
    </row>
    <row r="13" spans="2:33" ht="10.5">
      <c r="B13" s="11">
        <f t="shared" si="0"/>
        <v>2</v>
      </c>
      <c r="C13" s="13" t="str">
        <f>IF('Initial Setup'!D12&lt;&gt;"",'Initial Setup'!E12,0)</f>
        <v>Real Madrid</v>
      </c>
      <c r="D13" s="15">
        <f t="shared" si="18"/>
        <v>11</v>
      </c>
      <c r="E13" s="14">
        <f>COUNTIF('Fixtures and Results'!D:D,Setting!C13)+COUNTIF('Fixtures and Results'!G:G,Setting!C13)</f>
        <v>38</v>
      </c>
      <c r="F13" s="10">
        <f t="shared" si="1"/>
        <v>11</v>
      </c>
      <c r="G13" s="10">
        <f t="shared" si="2"/>
        <v>6</v>
      </c>
      <c r="H13" s="10">
        <f t="shared" si="3"/>
        <v>1</v>
      </c>
      <c r="I13" s="10">
        <f t="shared" si="4"/>
        <v>4</v>
      </c>
      <c r="J13" s="10">
        <f t="shared" si="5"/>
        <v>16</v>
      </c>
      <c r="K13" s="10">
        <f t="shared" si="6"/>
        <v>13</v>
      </c>
      <c r="L13" s="10">
        <f t="shared" si="7"/>
        <v>3</v>
      </c>
      <c r="M13" s="10">
        <f>U13+AC13-ABS(Deduction!D12)</f>
        <v>19</v>
      </c>
      <c r="N13" s="10">
        <f t="shared" si="8"/>
        <v>6</v>
      </c>
      <c r="O13" s="10">
        <f>SUMPRODUCT(('Fixtures and Results'!D$3:D$382=Setting!C13)*('Fixtures and Results'!E$3:E$382&gt;'Fixtures and Results'!F$3:F$382))</f>
        <v>3</v>
      </c>
      <c r="P13" s="10">
        <f>SUMPRODUCT(('Fixtures and Results'!D$3:D$382=Setting!C13)*('Fixtures and Results'!E$3:E$382='Fixtures and Results'!F$3:F$382)*('Fixtures and Results'!E$3:E$382&lt;&gt;""))</f>
        <v>1</v>
      </c>
      <c r="Q13" s="10">
        <f>SUMPRODUCT(('Fixtures and Results'!D$3:D$382=Setting!C13)*('Fixtures and Results'!E$3:E$382&lt;'Fixtures and Results'!F$3:F$382))</f>
        <v>2</v>
      </c>
      <c r="R13" s="10">
        <f>SUMIF('Fixtures and Results'!D$3:D$382,Setting!C13,'Fixtures and Results'!E$3:E$382)</f>
        <v>10</v>
      </c>
      <c r="S13" s="10">
        <f>SUMIF('Fixtures and Results'!D$3:D$382,Setting!C13,'Fixtures and Results'!F$3:F$382)</f>
        <v>6</v>
      </c>
      <c r="T13" s="10">
        <f t="shared" si="9"/>
        <v>4</v>
      </c>
      <c r="U13" s="10">
        <f t="shared" si="10"/>
        <v>10</v>
      </c>
      <c r="V13" s="10">
        <f t="shared" si="11"/>
        <v>5</v>
      </c>
      <c r="W13" s="10">
        <f>SUMPRODUCT(('Fixtures and Results'!G$3:G$382=Setting!C13)*('Fixtures and Results'!E$3:E$382&lt;'Fixtures and Results'!F$3:F$382))</f>
        <v>3</v>
      </c>
      <c r="X13" s="10">
        <f>SUMPRODUCT(('Fixtures and Results'!G$3:G$382=Setting!C13)*('Fixtures and Results'!E$3:E$382='Fixtures and Results'!F$3:F$382)*('Fixtures and Results'!F$3:F$382&lt;&gt;""))</f>
        <v>0</v>
      </c>
      <c r="Y13" s="10">
        <f>SUMPRODUCT(('Fixtures and Results'!G$3:G$382=Setting!C13)*('Fixtures and Results'!E$3:E$382&gt;'Fixtures and Results'!F$3:F$382))</f>
        <v>2</v>
      </c>
      <c r="Z13" s="10">
        <f>SUMIF('Fixtures and Results'!G$3:G$382,Setting!C13,'Fixtures and Results'!F$3:F$382)</f>
        <v>6</v>
      </c>
      <c r="AA13" s="10">
        <f>SUMIF('Fixtures and Results'!G$3:G$382,Setting!C13,'Fixtures and Results'!E$3:E$382)</f>
        <v>7</v>
      </c>
      <c r="AB13" s="10">
        <f t="shared" si="12"/>
        <v>-1</v>
      </c>
      <c r="AC13" s="10">
        <f t="shared" si="13"/>
        <v>9</v>
      </c>
      <c r="AD13" s="10">
        <f t="shared" si="14"/>
        <v>2</v>
      </c>
      <c r="AE13" s="10">
        <f t="shared" si="15"/>
        <v>0</v>
      </c>
      <c r="AF13" s="10">
        <f t="shared" si="16"/>
        <v>0</v>
      </c>
      <c r="AG13" s="10">
        <f t="shared" si="17"/>
        <v>0</v>
      </c>
    </row>
    <row r="14" spans="2:33" ht="10.5">
      <c r="B14" s="11">
        <f t="shared" si="0"/>
        <v>10</v>
      </c>
      <c r="C14" s="13" t="str">
        <f>IF('Initial Setup'!D13&lt;&gt;"",'Initial Setup'!E13,0)</f>
        <v>Valencia</v>
      </c>
      <c r="D14" s="15">
        <f t="shared" si="18"/>
        <v>10</v>
      </c>
      <c r="E14" s="14">
        <f>COUNTIF('Fixtures and Results'!D:D,Setting!C14)+COUNTIF('Fixtures and Results'!G:G,Setting!C14)</f>
        <v>38</v>
      </c>
      <c r="F14" s="10">
        <f t="shared" si="1"/>
        <v>11</v>
      </c>
      <c r="G14" s="10">
        <f t="shared" si="2"/>
        <v>5</v>
      </c>
      <c r="H14" s="10">
        <f t="shared" si="3"/>
        <v>1</v>
      </c>
      <c r="I14" s="10">
        <f t="shared" si="4"/>
        <v>5</v>
      </c>
      <c r="J14" s="10">
        <f t="shared" si="5"/>
        <v>14</v>
      </c>
      <c r="K14" s="10">
        <f t="shared" si="6"/>
        <v>15</v>
      </c>
      <c r="L14" s="10">
        <f t="shared" si="7"/>
        <v>-1</v>
      </c>
      <c r="M14" s="10">
        <f>U14+AC14-ABS(Deduction!D13)</f>
        <v>16</v>
      </c>
      <c r="N14" s="10">
        <f t="shared" si="8"/>
        <v>5</v>
      </c>
      <c r="O14" s="10">
        <f>SUMPRODUCT(('Fixtures and Results'!D$3:D$382=Setting!C14)*('Fixtures and Results'!E$3:E$382&gt;'Fixtures and Results'!F$3:F$382))</f>
        <v>3</v>
      </c>
      <c r="P14" s="10">
        <f>SUMPRODUCT(('Fixtures and Results'!D$3:D$382=Setting!C14)*('Fixtures and Results'!E$3:E$382='Fixtures and Results'!F$3:F$382)*('Fixtures and Results'!E$3:E$382&lt;&gt;""))</f>
        <v>1</v>
      </c>
      <c r="Q14" s="10">
        <f>SUMPRODUCT(('Fixtures and Results'!D$3:D$382=Setting!C14)*('Fixtures and Results'!E$3:E$382&lt;'Fixtures and Results'!F$3:F$382))</f>
        <v>1</v>
      </c>
      <c r="R14" s="10">
        <f>SUMIF('Fixtures and Results'!D$3:D$382,Setting!C14,'Fixtures and Results'!E$3:E$382)</f>
        <v>9</v>
      </c>
      <c r="S14" s="10">
        <f>SUMIF('Fixtures and Results'!D$3:D$382,Setting!C14,'Fixtures and Results'!F$3:F$382)</f>
        <v>5</v>
      </c>
      <c r="T14" s="10">
        <f t="shared" si="9"/>
        <v>4</v>
      </c>
      <c r="U14" s="10">
        <f t="shared" si="10"/>
        <v>10</v>
      </c>
      <c r="V14" s="10">
        <f t="shared" si="11"/>
        <v>6</v>
      </c>
      <c r="W14" s="10">
        <f>SUMPRODUCT(('Fixtures and Results'!G$3:G$382=Setting!C14)*('Fixtures and Results'!E$3:E$382&lt;'Fixtures and Results'!F$3:F$382))</f>
        <v>2</v>
      </c>
      <c r="X14" s="10">
        <f>SUMPRODUCT(('Fixtures and Results'!G$3:G$382=Setting!C14)*('Fixtures and Results'!E$3:E$382='Fixtures and Results'!F$3:F$382)*('Fixtures and Results'!F$3:F$382&lt;&gt;""))</f>
        <v>0</v>
      </c>
      <c r="Y14" s="10">
        <f>SUMPRODUCT(('Fixtures and Results'!G$3:G$382=Setting!C14)*('Fixtures and Results'!E$3:E$382&gt;'Fixtures and Results'!F$3:F$382))</f>
        <v>4</v>
      </c>
      <c r="Z14" s="10">
        <f>SUMIF('Fixtures and Results'!G$3:G$382,Setting!C14,'Fixtures and Results'!F$3:F$382)</f>
        <v>5</v>
      </c>
      <c r="AA14" s="10">
        <f>SUMIF('Fixtures and Results'!G$3:G$382,Setting!C14,'Fixtures and Results'!E$3:E$382)</f>
        <v>10</v>
      </c>
      <c r="AB14" s="10">
        <f t="shared" si="12"/>
        <v>-5</v>
      </c>
      <c r="AC14" s="10">
        <f t="shared" si="13"/>
        <v>6</v>
      </c>
      <c r="AD14" s="10">
        <f t="shared" si="14"/>
        <v>7</v>
      </c>
      <c r="AE14" s="10">
        <f t="shared" si="15"/>
        <v>3</v>
      </c>
      <c r="AF14" s="10">
        <f t="shared" si="16"/>
        <v>0</v>
      </c>
      <c r="AG14" s="10">
        <f t="shared" si="17"/>
        <v>0</v>
      </c>
    </row>
    <row r="15" spans="2:33" ht="10.5">
      <c r="B15" s="11">
        <f t="shared" si="0"/>
        <v>3</v>
      </c>
      <c r="C15" s="13" t="str">
        <f>IF('Initial Setup'!D14&lt;&gt;"",'Initial Setup'!E14,0)</f>
        <v>Villareal</v>
      </c>
      <c r="D15" s="15">
        <f t="shared" si="18"/>
        <v>9</v>
      </c>
      <c r="E15" s="14">
        <f>COUNTIF('Fixtures and Results'!D:D,Setting!C15)+COUNTIF('Fixtures and Results'!G:G,Setting!C15)</f>
        <v>38</v>
      </c>
      <c r="F15" s="10">
        <f t="shared" si="1"/>
        <v>11</v>
      </c>
      <c r="G15" s="10">
        <f t="shared" si="2"/>
        <v>6</v>
      </c>
      <c r="H15" s="10">
        <f t="shared" si="3"/>
        <v>1</v>
      </c>
      <c r="I15" s="10">
        <f t="shared" si="4"/>
        <v>4</v>
      </c>
      <c r="J15" s="10">
        <f t="shared" si="5"/>
        <v>16</v>
      </c>
      <c r="K15" s="10">
        <f t="shared" si="6"/>
        <v>13</v>
      </c>
      <c r="L15" s="10">
        <f t="shared" si="7"/>
        <v>3</v>
      </c>
      <c r="M15" s="10">
        <f>U15+AC15-ABS(Deduction!D14)</f>
        <v>19</v>
      </c>
      <c r="N15" s="10">
        <f t="shared" si="8"/>
        <v>6</v>
      </c>
      <c r="O15" s="10">
        <f>SUMPRODUCT(('Fixtures and Results'!D$3:D$382=Setting!C15)*('Fixtures and Results'!E$3:E$382&gt;'Fixtures and Results'!F$3:F$382))</f>
        <v>4</v>
      </c>
      <c r="P15" s="10">
        <f>SUMPRODUCT(('Fixtures and Results'!D$3:D$382=Setting!C15)*('Fixtures and Results'!E$3:E$382='Fixtures and Results'!F$3:F$382)*('Fixtures and Results'!E$3:E$382&lt;&gt;""))</f>
        <v>0</v>
      </c>
      <c r="Q15" s="10">
        <f>SUMPRODUCT(('Fixtures and Results'!D$3:D$382=Setting!C15)*('Fixtures and Results'!E$3:E$382&lt;'Fixtures and Results'!F$3:F$382))</f>
        <v>2</v>
      </c>
      <c r="R15" s="10">
        <f>SUMIF('Fixtures and Results'!D$3:D$382,Setting!C15,'Fixtures and Results'!E$3:E$382)</f>
        <v>10</v>
      </c>
      <c r="S15" s="10">
        <f>SUMIF('Fixtures and Results'!D$3:D$382,Setting!C15,'Fixtures and Results'!F$3:F$382)</f>
        <v>5</v>
      </c>
      <c r="T15" s="10">
        <f t="shared" si="9"/>
        <v>5</v>
      </c>
      <c r="U15" s="10">
        <f t="shared" si="10"/>
        <v>12</v>
      </c>
      <c r="V15" s="10">
        <f t="shared" si="11"/>
        <v>5</v>
      </c>
      <c r="W15" s="10">
        <f>SUMPRODUCT(('Fixtures and Results'!G$3:G$382=Setting!C15)*('Fixtures and Results'!E$3:E$382&lt;'Fixtures and Results'!F$3:F$382))</f>
        <v>2</v>
      </c>
      <c r="X15" s="10">
        <f>SUMPRODUCT(('Fixtures and Results'!G$3:G$382=Setting!C15)*('Fixtures and Results'!E$3:E$382='Fixtures and Results'!F$3:F$382)*('Fixtures and Results'!F$3:F$382&lt;&gt;""))</f>
        <v>1</v>
      </c>
      <c r="Y15" s="10">
        <f>SUMPRODUCT(('Fixtures and Results'!G$3:G$382=Setting!C15)*('Fixtures and Results'!E$3:E$382&gt;'Fixtures and Results'!F$3:F$382))</f>
        <v>2</v>
      </c>
      <c r="Z15" s="10">
        <f>SUMIF('Fixtures and Results'!G$3:G$382,Setting!C15,'Fixtures and Results'!F$3:F$382)</f>
        <v>6</v>
      </c>
      <c r="AA15" s="10">
        <f>SUMIF('Fixtures and Results'!G$3:G$382,Setting!C15,'Fixtures and Results'!E$3:E$382)</f>
        <v>8</v>
      </c>
      <c r="AB15" s="10">
        <f t="shared" si="12"/>
        <v>-2</v>
      </c>
      <c r="AC15" s="10">
        <f t="shared" si="13"/>
        <v>7</v>
      </c>
      <c r="AD15" s="10">
        <f t="shared" si="14"/>
        <v>2</v>
      </c>
      <c r="AE15" s="10">
        <f t="shared" si="15"/>
        <v>0</v>
      </c>
      <c r="AF15" s="10">
        <f t="shared" si="16"/>
        <v>0</v>
      </c>
      <c r="AG15" s="10">
        <f t="shared" si="17"/>
        <v>1</v>
      </c>
    </row>
    <row r="16" spans="2:33" ht="10.5">
      <c r="B16" s="11">
        <f t="shared" si="0"/>
        <v>14</v>
      </c>
      <c r="C16" s="13" t="str">
        <f>IF('Initial Setup'!D15&lt;&gt;"",'Initial Setup'!E15,0)</f>
        <v>Bayern Munich</v>
      </c>
      <c r="D16" s="15">
        <f t="shared" si="18"/>
        <v>8</v>
      </c>
      <c r="E16" s="14">
        <f>COUNTIF('Fixtures and Results'!D:D,Setting!C16)+COUNTIF('Fixtures and Results'!G:G,Setting!C16)</f>
        <v>38</v>
      </c>
      <c r="F16" s="10">
        <f t="shared" si="1"/>
        <v>11</v>
      </c>
      <c r="G16" s="10">
        <f t="shared" si="2"/>
        <v>5</v>
      </c>
      <c r="H16" s="10">
        <f t="shared" si="3"/>
        <v>0</v>
      </c>
      <c r="I16" s="10">
        <f t="shared" si="4"/>
        <v>6</v>
      </c>
      <c r="J16" s="10">
        <f t="shared" si="5"/>
        <v>13</v>
      </c>
      <c r="K16" s="10">
        <f t="shared" si="6"/>
        <v>15</v>
      </c>
      <c r="L16" s="10">
        <f t="shared" si="7"/>
        <v>-2</v>
      </c>
      <c r="M16" s="10">
        <f>U16+AC16-ABS(Deduction!D15)</f>
        <v>15</v>
      </c>
      <c r="N16" s="10">
        <f t="shared" si="8"/>
        <v>5</v>
      </c>
      <c r="O16" s="10">
        <f>SUMPRODUCT(('Fixtures and Results'!D$3:D$382=Setting!C16)*('Fixtures and Results'!E$3:E$382&gt;'Fixtures and Results'!F$3:F$382))</f>
        <v>3</v>
      </c>
      <c r="P16" s="10">
        <f>SUMPRODUCT(('Fixtures and Results'!D$3:D$382=Setting!C16)*('Fixtures and Results'!E$3:E$382='Fixtures and Results'!F$3:F$382)*('Fixtures and Results'!E$3:E$382&lt;&gt;""))</f>
        <v>0</v>
      </c>
      <c r="Q16" s="10">
        <f>SUMPRODUCT(('Fixtures and Results'!D$3:D$382=Setting!C16)*('Fixtures and Results'!E$3:E$382&lt;'Fixtures and Results'!F$3:F$382))</f>
        <v>2</v>
      </c>
      <c r="R16" s="10">
        <f>SUMIF('Fixtures and Results'!D$3:D$382,Setting!C16,'Fixtures and Results'!E$3:E$382)</f>
        <v>8</v>
      </c>
      <c r="S16" s="10">
        <f>SUMIF('Fixtures and Results'!D$3:D$382,Setting!C16,'Fixtures and Results'!F$3:F$382)</f>
        <v>5</v>
      </c>
      <c r="T16" s="10">
        <f t="shared" si="9"/>
        <v>3</v>
      </c>
      <c r="U16" s="10">
        <f t="shared" si="10"/>
        <v>9</v>
      </c>
      <c r="V16" s="10">
        <f t="shared" si="11"/>
        <v>6</v>
      </c>
      <c r="W16" s="10">
        <f>SUMPRODUCT(('Fixtures and Results'!G$3:G$382=Setting!C16)*('Fixtures and Results'!E$3:E$382&lt;'Fixtures and Results'!F$3:F$382))</f>
        <v>2</v>
      </c>
      <c r="X16" s="10">
        <f>SUMPRODUCT(('Fixtures and Results'!G$3:G$382=Setting!C16)*('Fixtures and Results'!E$3:E$382='Fixtures and Results'!F$3:F$382)*('Fixtures and Results'!F$3:F$382&lt;&gt;""))</f>
        <v>0</v>
      </c>
      <c r="Y16" s="10">
        <f>SUMPRODUCT(('Fixtures and Results'!G$3:G$382=Setting!C16)*('Fixtures and Results'!E$3:E$382&gt;'Fixtures and Results'!F$3:F$382))</f>
        <v>4</v>
      </c>
      <c r="Z16" s="10">
        <f>SUMIF('Fixtures and Results'!G$3:G$382,Setting!C16,'Fixtures and Results'!F$3:F$382)</f>
        <v>5</v>
      </c>
      <c r="AA16" s="10">
        <f>SUMIF('Fixtures and Results'!G$3:G$382,Setting!C16,'Fixtures and Results'!E$3:E$382)</f>
        <v>10</v>
      </c>
      <c r="AB16" s="10">
        <f t="shared" si="12"/>
        <v>-5</v>
      </c>
      <c r="AC16" s="10">
        <f t="shared" si="13"/>
        <v>6</v>
      </c>
      <c r="AD16" s="10">
        <f t="shared" si="14"/>
        <v>13</v>
      </c>
      <c r="AE16" s="10">
        <f t="shared" si="15"/>
        <v>1</v>
      </c>
      <c r="AF16" s="10">
        <f t="shared" si="16"/>
        <v>0</v>
      </c>
      <c r="AG16" s="10">
        <f t="shared" si="17"/>
        <v>0</v>
      </c>
    </row>
    <row r="17" spans="2:33" ht="10.5">
      <c r="B17" s="11">
        <f t="shared" si="0"/>
        <v>17</v>
      </c>
      <c r="C17" s="13" t="str">
        <f>IF('Initial Setup'!D16&lt;&gt;"",'Initial Setup'!E16,0)</f>
        <v>Ajax Amsterdam</v>
      </c>
      <c r="D17" s="15">
        <f t="shared" si="18"/>
        <v>7</v>
      </c>
      <c r="E17" s="14">
        <f>COUNTIF('Fixtures and Results'!D:D,Setting!C17)+COUNTIF('Fixtures and Results'!G:G,Setting!C17)</f>
        <v>38</v>
      </c>
      <c r="F17" s="10">
        <f t="shared" si="1"/>
        <v>10</v>
      </c>
      <c r="G17" s="10">
        <f t="shared" si="2"/>
        <v>4</v>
      </c>
      <c r="H17" s="10">
        <f t="shared" si="3"/>
        <v>0</v>
      </c>
      <c r="I17" s="10">
        <f t="shared" si="4"/>
        <v>6</v>
      </c>
      <c r="J17" s="10">
        <f t="shared" si="5"/>
        <v>12</v>
      </c>
      <c r="K17" s="10">
        <f t="shared" si="6"/>
        <v>14</v>
      </c>
      <c r="L17" s="10">
        <f t="shared" si="7"/>
        <v>-2</v>
      </c>
      <c r="M17" s="10">
        <f>U17+AC17-ABS(Deduction!D16)</f>
        <v>12</v>
      </c>
      <c r="N17" s="10">
        <f t="shared" si="8"/>
        <v>5</v>
      </c>
      <c r="O17" s="10">
        <f>SUMPRODUCT(('Fixtures and Results'!D$3:D$382=Setting!C17)*('Fixtures and Results'!E$3:E$382&gt;'Fixtures and Results'!F$3:F$382))</f>
        <v>2</v>
      </c>
      <c r="P17" s="10">
        <f>SUMPRODUCT(('Fixtures and Results'!D$3:D$382=Setting!C17)*('Fixtures and Results'!E$3:E$382='Fixtures and Results'!F$3:F$382)*('Fixtures and Results'!E$3:E$382&lt;&gt;""))</f>
        <v>0</v>
      </c>
      <c r="Q17" s="10">
        <f>SUMPRODUCT(('Fixtures and Results'!D$3:D$382=Setting!C17)*('Fixtures and Results'!E$3:E$382&lt;'Fixtures and Results'!F$3:F$382))</f>
        <v>3</v>
      </c>
      <c r="R17" s="10">
        <f>SUMIF('Fixtures and Results'!D$3:D$382,Setting!C17,'Fixtures and Results'!E$3:E$382)</f>
        <v>7</v>
      </c>
      <c r="S17" s="10">
        <f>SUMIF('Fixtures and Results'!D$3:D$382,Setting!C17,'Fixtures and Results'!F$3:F$382)</f>
        <v>6</v>
      </c>
      <c r="T17" s="10">
        <f t="shared" si="9"/>
        <v>1</v>
      </c>
      <c r="U17" s="10">
        <f t="shared" si="10"/>
        <v>6</v>
      </c>
      <c r="V17" s="10">
        <f t="shared" si="11"/>
        <v>5</v>
      </c>
      <c r="W17" s="10">
        <f>SUMPRODUCT(('Fixtures and Results'!G$3:G$382=Setting!C17)*('Fixtures and Results'!E$3:E$382&lt;'Fixtures and Results'!F$3:F$382))</f>
        <v>2</v>
      </c>
      <c r="X17" s="10">
        <f>SUMPRODUCT(('Fixtures and Results'!G$3:G$382=Setting!C17)*('Fixtures and Results'!E$3:E$382='Fixtures and Results'!F$3:F$382)*('Fixtures and Results'!F$3:F$382&lt;&gt;""))</f>
        <v>0</v>
      </c>
      <c r="Y17" s="10">
        <f>SUMPRODUCT(('Fixtures and Results'!G$3:G$382=Setting!C17)*('Fixtures and Results'!E$3:E$382&gt;'Fixtures and Results'!F$3:F$382))</f>
        <v>3</v>
      </c>
      <c r="Z17" s="10">
        <f>SUMIF('Fixtures and Results'!G$3:G$382,Setting!C17,'Fixtures and Results'!F$3:F$382)</f>
        <v>5</v>
      </c>
      <c r="AA17" s="10">
        <f>SUMIF('Fixtures and Results'!G$3:G$382,Setting!C17,'Fixtures and Results'!E$3:E$382)</f>
        <v>8</v>
      </c>
      <c r="AB17" s="10">
        <f t="shared" si="12"/>
        <v>-3</v>
      </c>
      <c r="AC17" s="10">
        <f t="shared" si="13"/>
        <v>6</v>
      </c>
      <c r="AD17" s="10">
        <f t="shared" si="14"/>
        <v>17</v>
      </c>
      <c r="AE17" s="10">
        <f t="shared" si="15"/>
        <v>0</v>
      </c>
      <c r="AF17" s="10">
        <f t="shared" si="16"/>
        <v>0</v>
      </c>
      <c r="AG17" s="10">
        <f t="shared" si="17"/>
        <v>0</v>
      </c>
    </row>
    <row r="18" spans="2:33" ht="10.5">
      <c r="B18" s="11">
        <f t="shared" si="0"/>
        <v>11</v>
      </c>
      <c r="C18" s="13" t="str">
        <f>IF('Initial Setup'!D17&lt;&gt;"",'Initial Setup'!E17,0)</f>
        <v>PSV Eindhoven</v>
      </c>
      <c r="D18" s="15">
        <f t="shared" si="18"/>
        <v>6</v>
      </c>
      <c r="E18" s="14">
        <f>COUNTIF('Fixtures and Results'!D:D,Setting!C18)+COUNTIF('Fixtures and Results'!G:G,Setting!C18)</f>
        <v>38</v>
      </c>
      <c r="F18" s="10">
        <f t="shared" si="1"/>
        <v>11</v>
      </c>
      <c r="G18" s="10">
        <f t="shared" si="2"/>
        <v>5</v>
      </c>
      <c r="H18" s="10">
        <f t="shared" si="3"/>
        <v>1</v>
      </c>
      <c r="I18" s="10">
        <f t="shared" si="4"/>
        <v>5</v>
      </c>
      <c r="J18" s="10">
        <f t="shared" si="5"/>
        <v>14</v>
      </c>
      <c r="K18" s="10">
        <f t="shared" si="6"/>
        <v>15</v>
      </c>
      <c r="L18" s="10">
        <f t="shared" si="7"/>
        <v>-1</v>
      </c>
      <c r="M18" s="10">
        <f>U18+AC18-ABS(Deduction!D17)</f>
        <v>16</v>
      </c>
      <c r="N18" s="10">
        <f t="shared" si="8"/>
        <v>5</v>
      </c>
      <c r="O18" s="10">
        <f>SUMPRODUCT(('Fixtures and Results'!D$3:D$382=Setting!C18)*('Fixtures and Results'!E$3:E$382&gt;'Fixtures and Results'!F$3:F$382))</f>
        <v>2</v>
      </c>
      <c r="P18" s="10">
        <f>SUMPRODUCT(('Fixtures and Results'!D$3:D$382=Setting!C18)*('Fixtures and Results'!E$3:E$382='Fixtures and Results'!F$3:F$382)*('Fixtures and Results'!E$3:E$382&lt;&gt;""))</f>
        <v>1</v>
      </c>
      <c r="Q18" s="10">
        <f>SUMPRODUCT(('Fixtures and Results'!D$3:D$382=Setting!C18)*('Fixtures and Results'!E$3:E$382&lt;'Fixtures and Results'!F$3:F$382))</f>
        <v>2</v>
      </c>
      <c r="R18" s="10">
        <f>SUMIF('Fixtures and Results'!D$3:D$382,Setting!C18,'Fixtures and Results'!E$3:E$382)</f>
        <v>8</v>
      </c>
      <c r="S18" s="10">
        <f>SUMIF('Fixtures and Results'!D$3:D$382,Setting!C18,'Fixtures and Results'!F$3:F$382)</f>
        <v>6</v>
      </c>
      <c r="T18" s="10">
        <f t="shared" si="9"/>
        <v>2</v>
      </c>
      <c r="U18" s="10">
        <f t="shared" si="10"/>
        <v>7</v>
      </c>
      <c r="V18" s="10">
        <f t="shared" si="11"/>
        <v>6</v>
      </c>
      <c r="W18" s="10">
        <f>SUMPRODUCT(('Fixtures and Results'!G$3:G$382=Setting!C18)*('Fixtures and Results'!E$3:E$382&lt;'Fixtures and Results'!F$3:F$382))</f>
        <v>3</v>
      </c>
      <c r="X18" s="10">
        <f>SUMPRODUCT(('Fixtures and Results'!G$3:G$382=Setting!C18)*('Fixtures and Results'!E$3:E$382='Fixtures and Results'!F$3:F$382)*('Fixtures and Results'!F$3:F$382&lt;&gt;""))</f>
        <v>0</v>
      </c>
      <c r="Y18" s="10">
        <f>SUMPRODUCT(('Fixtures and Results'!G$3:G$382=Setting!C18)*('Fixtures and Results'!E$3:E$382&gt;'Fixtures and Results'!F$3:F$382))</f>
        <v>3</v>
      </c>
      <c r="Z18" s="10">
        <f>SUMIF('Fixtures and Results'!G$3:G$382,Setting!C18,'Fixtures and Results'!F$3:F$382)</f>
        <v>6</v>
      </c>
      <c r="AA18" s="10">
        <f>SUMIF('Fixtures and Results'!G$3:G$382,Setting!C18,'Fixtures and Results'!E$3:E$382)</f>
        <v>9</v>
      </c>
      <c r="AB18" s="10">
        <f t="shared" si="12"/>
        <v>-3</v>
      </c>
      <c r="AC18" s="10">
        <f t="shared" si="13"/>
        <v>9</v>
      </c>
      <c r="AD18" s="10">
        <f t="shared" si="14"/>
        <v>7</v>
      </c>
      <c r="AE18" s="10">
        <f t="shared" si="15"/>
        <v>3</v>
      </c>
      <c r="AF18" s="10">
        <f t="shared" si="16"/>
        <v>0</v>
      </c>
      <c r="AG18" s="10">
        <f t="shared" si="17"/>
        <v>1</v>
      </c>
    </row>
    <row r="19" spans="2:33" ht="10.5">
      <c r="B19" s="11">
        <f t="shared" si="0"/>
        <v>12</v>
      </c>
      <c r="C19" s="13" t="str">
        <f>IF('Initial Setup'!D18&lt;&gt;"",'Initial Setup'!E18,0)</f>
        <v>Lyon</v>
      </c>
      <c r="D19" s="15">
        <f t="shared" si="18"/>
        <v>5</v>
      </c>
      <c r="E19" s="14">
        <f>COUNTIF('Fixtures and Results'!D:D,Setting!C19)+COUNTIF('Fixtures and Results'!G:G,Setting!C19)</f>
        <v>38</v>
      </c>
      <c r="F19" s="10">
        <f t="shared" si="1"/>
        <v>11</v>
      </c>
      <c r="G19" s="10">
        <f t="shared" si="2"/>
        <v>5</v>
      </c>
      <c r="H19" s="10">
        <f t="shared" si="3"/>
        <v>1</v>
      </c>
      <c r="I19" s="10">
        <f t="shared" si="4"/>
        <v>5</v>
      </c>
      <c r="J19" s="10">
        <f t="shared" si="5"/>
        <v>14</v>
      </c>
      <c r="K19" s="10">
        <f t="shared" si="6"/>
        <v>15</v>
      </c>
      <c r="L19" s="10">
        <f t="shared" si="7"/>
        <v>-1</v>
      </c>
      <c r="M19" s="10">
        <f>U19+AC19-ABS(Deduction!D18)</f>
        <v>16</v>
      </c>
      <c r="N19" s="10">
        <f t="shared" si="8"/>
        <v>5</v>
      </c>
      <c r="O19" s="10">
        <f>SUMPRODUCT(('Fixtures and Results'!D$3:D$382=Setting!C19)*('Fixtures and Results'!E$3:E$382&gt;'Fixtures and Results'!F$3:F$382))</f>
        <v>3</v>
      </c>
      <c r="P19" s="10">
        <f>SUMPRODUCT(('Fixtures and Results'!D$3:D$382=Setting!C19)*('Fixtures and Results'!E$3:E$382='Fixtures and Results'!F$3:F$382)*('Fixtures and Results'!E$3:E$382&lt;&gt;""))</f>
        <v>1</v>
      </c>
      <c r="Q19" s="10">
        <f>SUMPRODUCT(('Fixtures and Results'!D$3:D$382=Setting!C19)*('Fixtures and Results'!E$3:E$382&lt;'Fixtures and Results'!F$3:F$382))</f>
        <v>1</v>
      </c>
      <c r="R19" s="10">
        <f>SUMIF('Fixtures and Results'!D$3:D$382,Setting!C19,'Fixtures and Results'!E$3:E$382)</f>
        <v>9</v>
      </c>
      <c r="S19" s="10">
        <f>SUMIF('Fixtures and Results'!D$3:D$382,Setting!C19,'Fixtures and Results'!F$3:F$382)</f>
        <v>5</v>
      </c>
      <c r="T19" s="10">
        <f t="shared" si="9"/>
        <v>4</v>
      </c>
      <c r="U19" s="10">
        <f t="shared" si="10"/>
        <v>10</v>
      </c>
      <c r="V19" s="10">
        <f t="shared" si="11"/>
        <v>6</v>
      </c>
      <c r="W19" s="10">
        <f>SUMPRODUCT(('Fixtures and Results'!G$3:G$382=Setting!C19)*('Fixtures and Results'!E$3:E$382&lt;'Fixtures and Results'!F$3:F$382))</f>
        <v>2</v>
      </c>
      <c r="X19" s="10">
        <f>SUMPRODUCT(('Fixtures and Results'!G$3:G$382=Setting!C19)*('Fixtures and Results'!E$3:E$382='Fixtures and Results'!F$3:F$382)*('Fixtures and Results'!F$3:F$382&lt;&gt;""))</f>
        <v>0</v>
      </c>
      <c r="Y19" s="10">
        <f>SUMPRODUCT(('Fixtures and Results'!G$3:G$382=Setting!C19)*('Fixtures and Results'!E$3:E$382&gt;'Fixtures and Results'!F$3:F$382))</f>
        <v>4</v>
      </c>
      <c r="Z19" s="10">
        <f>SUMIF('Fixtures and Results'!G$3:G$382,Setting!C19,'Fixtures and Results'!F$3:F$382)</f>
        <v>5</v>
      </c>
      <c r="AA19" s="10">
        <f>SUMIF('Fixtures and Results'!G$3:G$382,Setting!C19,'Fixtures and Results'!E$3:E$382)</f>
        <v>10</v>
      </c>
      <c r="AB19" s="10">
        <f t="shared" si="12"/>
        <v>-5</v>
      </c>
      <c r="AC19" s="10">
        <f t="shared" si="13"/>
        <v>6</v>
      </c>
      <c r="AD19" s="10">
        <f t="shared" si="14"/>
        <v>7</v>
      </c>
      <c r="AE19" s="10">
        <f t="shared" si="15"/>
        <v>3</v>
      </c>
      <c r="AF19" s="10">
        <f t="shared" si="16"/>
        <v>0</v>
      </c>
      <c r="AG19" s="10">
        <f t="shared" si="17"/>
        <v>2</v>
      </c>
    </row>
    <row r="20" spans="2:33" ht="10.5">
      <c r="B20" s="11">
        <f t="shared" si="0"/>
        <v>19</v>
      </c>
      <c r="C20" s="13" t="str">
        <f>IF('Initial Setup'!D19&lt;&gt;"",'Initial Setup'!E19,0)</f>
        <v>Olympiakos</v>
      </c>
      <c r="D20" s="15">
        <f t="shared" si="18"/>
        <v>4</v>
      </c>
      <c r="E20" s="14">
        <f>COUNTIF('Fixtures and Results'!D:D,Setting!C20)+COUNTIF('Fixtures and Results'!G:G,Setting!C20)</f>
        <v>38</v>
      </c>
      <c r="F20" s="10">
        <f t="shared" si="1"/>
        <v>11</v>
      </c>
      <c r="G20" s="10">
        <f t="shared" si="2"/>
        <v>3</v>
      </c>
      <c r="H20" s="10">
        <f t="shared" si="3"/>
        <v>2</v>
      </c>
      <c r="I20" s="10">
        <f t="shared" si="4"/>
        <v>6</v>
      </c>
      <c r="J20" s="10">
        <f t="shared" si="5"/>
        <v>13</v>
      </c>
      <c r="K20" s="10">
        <f t="shared" si="6"/>
        <v>17</v>
      </c>
      <c r="L20" s="10">
        <f t="shared" si="7"/>
        <v>-4</v>
      </c>
      <c r="M20" s="10">
        <f>U20+AC20-ABS(Deduction!D19)</f>
        <v>11</v>
      </c>
      <c r="N20" s="10">
        <f t="shared" si="8"/>
        <v>5</v>
      </c>
      <c r="O20" s="10">
        <f>SUMPRODUCT(('Fixtures and Results'!D$3:D$382=Setting!C20)*('Fixtures and Results'!E$3:E$382&gt;'Fixtures and Results'!F$3:F$382))</f>
        <v>2</v>
      </c>
      <c r="P20" s="10">
        <f>SUMPRODUCT(('Fixtures and Results'!D$3:D$382=Setting!C20)*('Fixtures and Results'!E$3:E$382='Fixtures and Results'!F$3:F$382)*('Fixtures and Results'!E$3:E$382&lt;&gt;""))</f>
        <v>1</v>
      </c>
      <c r="Q20" s="10">
        <f>SUMPRODUCT(('Fixtures and Results'!D$3:D$382=Setting!C20)*('Fixtures and Results'!E$3:E$382&lt;'Fixtures and Results'!F$3:F$382))</f>
        <v>2</v>
      </c>
      <c r="R20" s="10">
        <f>SUMIF('Fixtures and Results'!D$3:D$382,Setting!C20,'Fixtures and Results'!E$3:E$382)</f>
        <v>8</v>
      </c>
      <c r="S20" s="10">
        <f>SUMIF('Fixtures and Results'!D$3:D$382,Setting!C20,'Fixtures and Results'!F$3:F$382)</f>
        <v>6</v>
      </c>
      <c r="T20" s="10">
        <f t="shared" si="9"/>
        <v>2</v>
      </c>
      <c r="U20" s="10">
        <f t="shared" si="10"/>
        <v>7</v>
      </c>
      <c r="V20" s="10">
        <f t="shared" si="11"/>
        <v>6</v>
      </c>
      <c r="W20" s="10">
        <f>SUMPRODUCT(('Fixtures and Results'!G$3:G$382=Setting!C20)*('Fixtures and Results'!E$3:E$382&lt;'Fixtures and Results'!F$3:F$382))</f>
        <v>1</v>
      </c>
      <c r="X20" s="10">
        <f>SUMPRODUCT(('Fixtures and Results'!G$3:G$382=Setting!C20)*('Fixtures and Results'!E$3:E$382='Fixtures and Results'!F$3:F$382)*('Fixtures and Results'!F$3:F$382&lt;&gt;""))</f>
        <v>1</v>
      </c>
      <c r="Y20" s="10">
        <f>SUMPRODUCT(('Fixtures and Results'!G$3:G$382=Setting!C20)*('Fixtures and Results'!E$3:E$382&gt;'Fixtures and Results'!F$3:F$382))</f>
        <v>4</v>
      </c>
      <c r="Z20" s="10">
        <f>SUMIF('Fixtures and Results'!G$3:G$382,Setting!C20,'Fixtures and Results'!F$3:F$382)</f>
        <v>5</v>
      </c>
      <c r="AA20" s="10">
        <f>SUMIF('Fixtures and Results'!G$3:G$382,Setting!C20,'Fixtures and Results'!E$3:E$382)</f>
        <v>11</v>
      </c>
      <c r="AB20" s="10">
        <f t="shared" si="12"/>
        <v>-6</v>
      </c>
      <c r="AC20" s="10">
        <f t="shared" si="13"/>
        <v>4</v>
      </c>
      <c r="AD20" s="10">
        <f t="shared" si="14"/>
        <v>19</v>
      </c>
      <c r="AE20" s="10">
        <f t="shared" si="15"/>
        <v>0</v>
      </c>
      <c r="AF20" s="10">
        <f t="shared" si="16"/>
        <v>0</v>
      </c>
      <c r="AG20" s="10">
        <f t="shared" si="17"/>
        <v>0</v>
      </c>
    </row>
    <row r="21" spans="2:33" ht="10.5">
      <c r="B21" s="11">
        <f t="shared" si="0"/>
        <v>15</v>
      </c>
      <c r="C21" s="13" t="str">
        <f>IF('Initial Setup'!D20&lt;&gt;"",'Initial Setup'!E20,0)</f>
        <v>Marseille</v>
      </c>
      <c r="D21" s="15">
        <f t="shared" si="18"/>
        <v>3</v>
      </c>
      <c r="E21" s="14">
        <f>COUNTIF('Fixtures and Results'!D:D,Setting!C21)+COUNTIF('Fixtures and Results'!G:G,Setting!C21)</f>
        <v>38</v>
      </c>
      <c r="F21" s="10">
        <f t="shared" si="1"/>
        <v>11</v>
      </c>
      <c r="G21" s="10">
        <f t="shared" si="2"/>
        <v>5</v>
      </c>
      <c r="H21" s="10">
        <f t="shared" si="3"/>
        <v>0</v>
      </c>
      <c r="I21" s="10">
        <f t="shared" si="4"/>
        <v>6</v>
      </c>
      <c r="J21" s="10">
        <f t="shared" si="5"/>
        <v>13</v>
      </c>
      <c r="K21" s="10">
        <f t="shared" si="6"/>
        <v>15</v>
      </c>
      <c r="L21" s="10">
        <f t="shared" si="7"/>
        <v>-2</v>
      </c>
      <c r="M21" s="10">
        <f>U21+AC21-ABS(Deduction!D20)</f>
        <v>15</v>
      </c>
      <c r="N21" s="10">
        <f t="shared" si="8"/>
        <v>5</v>
      </c>
      <c r="O21" s="10">
        <f>SUMPRODUCT(('Fixtures and Results'!D$3:D$382=Setting!C21)*('Fixtures and Results'!E$3:E$382&gt;'Fixtures and Results'!F$3:F$382))</f>
        <v>3</v>
      </c>
      <c r="P21" s="10">
        <f>SUMPRODUCT(('Fixtures and Results'!D$3:D$382=Setting!C21)*('Fixtures and Results'!E$3:E$382='Fixtures and Results'!F$3:F$382)*('Fixtures and Results'!E$3:E$382&lt;&gt;""))</f>
        <v>0</v>
      </c>
      <c r="Q21" s="10">
        <f>SUMPRODUCT(('Fixtures and Results'!D$3:D$382=Setting!C21)*('Fixtures and Results'!E$3:E$382&lt;'Fixtures and Results'!F$3:F$382))</f>
        <v>2</v>
      </c>
      <c r="R21" s="10">
        <f>SUMIF('Fixtures and Results'!D$3:D$382,Setting!C21,'Fixtures and Results'!E$3:E$382)</f>
        <v>8</v>
      </c>
      <c r="S21" s="10">
        <f>SUMIF('Fixtures and Results'!D$3:D$382,Setting!C21,'Fixtures and Results'!F$3:F$382)</f>
        <v>5</v>
      </c>
      <c r="T21" s="10">
        <f t="shared" si="9"/>
        <v>3</v>
      </c>
      <c r="U21" s="10">
        <f t="shared" si="10"/>
        <v>9</v>
      </c>
      <c r="V21" s="10">
        <f t="shared" si="11"/>
        <v>6</v>
      </c>
      <c r="W21" s="10">
        <f>SUMPRODUCT(('Fixtures and Results'!G$3:G$382=Setting!C21)*('Fixtures and Results'!E$3:E$382&lt;'Fixtures and Results'!F$3:F$382))</f>
        <v>2</v>
      </c>
      <c r="X21" s="10">
        <f>SUMPRODUCT(('Fixtures and Results'!G$3:G$382=Setting!C21)*('Fixtures and Results'!E$3:E$382='Fixtures and Results'!F$3:F$382)*('Fixtures and Results'!F$3:F$382&lt;&gt;""))</f>
        <v>0</v>
      </c>
      <c r="Y21" s="10">
        <f>SUMPRODUCT(('Fixtures and Results'!G$3:G$382=Setting!C21)*('Fixtures and Results'!E$3:E$382&gt;'Fixtures and Results'!F$3:F$382))</f>
        <v>4</v>
      </c>
      <c r="Z21" s="10">
        <f>SUMIF('Fixtures and Results'!G$3:G$382,Setting!C21,'Fixtures and Results'!F$3:F$382)</f>
        <v>5</v>
      </c>
      <c r="AA21" s="10">
        <f>SUMIF('Fixtures and Results'!G$3:G$382,Setting!C21,'Fixtures and Results'!E$3:E$382)</f>
        <v>10</v>
      </c>
      <c r="AB21" s="10">
        <f t="shared" si="12"/>
        <v>-5</v>
      </c>
      <c r="AC21" s="10">
        <f t="shared" si="13"/>
        <v>6</v>
      </c>
      <c r="AD21" s="10">
        <f t="shared" si="14"/>
        <v>13</v>
      </c>
      <c r="AE21" s="10">
        <f t="shared" si="15"/>
        <v>1</v>
      </c>
      <c r="AF21" s="10">
        <f t="shared" si="16"/>
        <v>0</v>
      </c>
      <c r="AG21" s="10">
        <f t="shared" si="17"/>
        <v>1</v>
      </c>
    </row>
    <row r="22" spans="2:33" ht="10.5">
      <c r="B22" s="11">
        <f t="shared" si="0"/>
        <v>20</v>
      </c>
      <c r="C22" s="13" t="str">
        <f>IF('Initial Setup'!D21&lt;&gt;"",'Initial Setup'!E21,0)</f>
        <v>Glasgow Celtic</v>
      </c>
      <c r="D22" s="15">
        <f t="shared" si="18"/>
        <v>2</v>
      </c>
      <c r="E22" s="14">
        <f>COUNTIF('Fixtures and Results'!D:D,Setting!C22)+COUNTIF('Fixtures and Results'!G:G,Setting!C22)</f>
        <v>38</v>
      </c>
      <c r="F22" s="10">
        <f t="shared" si="1"/>
        <v>11</v>
      </c>
      <c r="G22" s="10">
        <f t="shared" si="2"/>
        <v>3</v>
      </c>
      <c r="H22" s="10">
        <f t="shared" si="3"/>
        <v>2</v>
      </c>
      <c r="I22" s="10">
        <f t="shared" si="4"/>
        <v>6</v>
      </c>
      <c r="J22" s="10">
        <f t="shared" si="5"/>
        <v>13</v>
      </c>
      <c r="K22" s="10">
        <f t="shared" si="6"/>
        <v>17</v>
      </c>
      <c r="L22" s="10">
        <f t="shared" si="7"/>
        <v>-4</v>
      </c>
      <c r="M22" s="10">
        <f>U22+AC22-ABS(Deduction!D21)</f>
        <v>11</v>
      </c>
      <c r="N22" s="10">
        <f t="shared" si="8"/>
        <v>5</v>
      </c>
      <c r="O22" s="10">
        <f>SUMPRODUCT(('Fixtures and Results'!D$3:D$382=Setting!C22)*('Fixtures and Results'!E$3:E$382&gt;'Fixtures and Results'!F$3:F$382))</f>
        <v>2</v>
      </c>
      <c r="P22" s="10">
        <f>SUMPRODUCT(('Fixtures and Results'!D$3:D$382=Setting!C22)*('Fixtures and Results'!E$3:E$382='Fixtures and Results'!F$3:F$382)*('Fixtures and Results'!E$3:E$382&lt;&gt;""))</f>
        <v>0</v>
      </c>
      <c r="Q22" s="10">
        <f>SUMPRODUCT(('Fixtures and Results'!D$3:D$382=Setting!C22)*('Fixtures and Results'!E$3:E$382&lt;'Fixtures and Results'!F$3:F$382))</f>
        <v>3</v>
      </c>
      <c r="R22" s="10">
        <f>SUMIF('Fixtures and Results'!D$3:D$382,Setting!C22,'Fixtures and Results'!E$3:E$382)</f>
        <v>7</v>
      </c>
      <c r="S22" s="10">
        <f>SUMIF('Fixtures and Results'!D$3:D$382,Setting!C22,'Fixtures and Results'!F$3:F$382)</f>
        <v>6</v>
      </c>
      <c r="T22" s="10">
        <f t="shared" si="9"/>
        <v>1</v>
      </c>
      <c r="U22" s="10">
        <f t="shared" si="10"/>
        <v>6</v>
      </c>
      <c r="V22" s="10">
        <f t="shared" si="11"/>
        <v>6</v>
      </c>
      <c r="W22" s="10">
        <f>SUMPRODUCT(('Fixtures and Results'!G$3:G$382=Setting!C22)*('Fixtures and Results'!E$3:E$382&lt;'Fixtures and Results'!F$3:F$382))</f>
        <v>1</v>
      </c>
      <c r="X22" s="10">
        <f>SUMPRODUCT(('Fixtures and Results'!G$3:G$382=Setting!C22)*('Fixtures and Results'!E$3:E$382='Fixtures and Results'!F$3:F$382)*('Fixtures and Results'!F$3:F$382&lt;&gt;""))</f>
        <v>2</v>
      </c>
      <c r="Y22" s="10">
        <f>SUMPRODUCT(('Fixtures and Results'!G$3:G$382=Setting!C22)*('Fixtures and Results'!E$3:E$382&gt;'Fixtures and Results'!F$3:F$382))</f>
        <v>3</v>
      </c>
      <c r="Z22" s="10">
        <f>SUMIF('Fixtures and Results'!G$3:G$382,Setting!C22,'Fixtures and Results'!F$3:F$382)</f>
        <v>6</v>
      </c>
      <c r="AA22" s="10">
        <f>SUMIF('Fixtures and Results'!G$3:G$382,Setting!C22,'Fixtures and Results'!E$3:E$382)</f>
        <v>11</v>
      </c>
      <c r="AB22" s="10">
        <f t="shared" si="12"/>
        <v>-5</v>
      </c>
      <c r="AC22" s="10">
        <f t="shared" si="13"/>
        <v>5</v>
      </c>
      <c r="AD22" s="10">
        <f t="shared" si="14"/>
        <v>19</v>
      </c>
      <c r="AE22" s="10">
        <f t="shared" si="15"/>
        <v>0</v>
      </c>
      <c r="AF22" s="10">
        <f t="shared" si="16"/>
        <v>0</v>
      </c>
      <c r="AG22" s="10">
        <f t="shared" si="17"/>
        <v>1</v>
      </c>
    </row>
    <row r="23" spans="2:33" ht="10.5">
      <c r="B23" s="11">
        <f t="shared" si="0"/>
        <v>1</v>
      </c>
      <c r="C23" s="13" t="str">
        <f>IF('Initial Setup'!D22&lt;&gt;"",'Initial Setup'!E22,0)</f>
        <v>Glasgow Ranger</v>
      </c>
      <c r="D23" s="15">
        <f t="shared" si="18"/>
        <v>1</v>
      </c>
      <c r="E23" s="14">
        <f>COUNTIF('Fixtures and Results'!D:D,Setting!C23)+COUNTIF('Fixtures and Results'!G:G,Setting!C23)</f>
        <v>38</v>
      </c>
      <c r="F23" s="10">
        <f t="shared" si="1"/>
        <v>11</v>
      </c>
      <c r="G23" s="10">
        <f t="shared" si="2"/>
        <v>8</v>
      </c>
      <c r="H23" s="10">
        <f t="shared" si="3"/>
        <v>0</v>
      </c>
      <c r="I23" s="10">
        <f t="shared" si="4"/>
        <v>3</v>
      </c>
      <c r="J23" s="10">
        <f t="shared" si="5"/>
        <v>17</v>
      </c>
      <c r="K23" s="10">
        <f t="shared" si="6"/>
        <v>11</v>
      </c>
      <c r="L23" s="10">
        <f t="shared" si="7"/>
        <v>6</v>
      </c>
      <c r="M23" s="10">
        <f>U23+AC23-ABS(Deduction!D22)</f>
        <v>24</v>
      </c>
      <c r="N23" s="10">
        <f t="shared" si="8"/>
        <v>6</v>
      </c>
      <c r="O23" s="10">
        <f>SUMPRODUCT(('Fixtures and Results'!D$3:D$382=Setting!C23)*('Fixtures and Results'!E$3:E$382&gt;'Fixtures and Results'!F$3:F$382))</f>
        <v>5</v>
      </c>
      <c r="P23" s="10">
        <f>SUMPRODUCT(('Fixtures and Results'!D$3:D$382=Setting!C23)*('Fixtures and Results'!E$3:E$382='Fixtures and Results'!F$3:F$382)*('Fixtures and Results'!E$3:E$382&lt;&gt;""))</f>
        <v>0</v>
      </c>
      <c r="Q23" s="10">
        <f>SUMPRODUCT(('Fixtures and Results'!D$3:D$382=Setting!C23)*('Fixtures and Results'!E$3:E$382&lt;'Fixtures and Results'!F$3:F$382))</f>
        <v>1</v>
      </c>
      <c r="R23" s="10">
        <f>SUMIF('Fixtures and Results'!D$3:D$382,Setting!C23,'Fixtures and Results'!E$3:E$382)</f>
        <v>11</v>
      </c>
      <c r="S23" s="10">
        <f>SUMIF('Fixtures and Results'!D$3:D$382,Setting!C23,'Fixtures and Results'!F$3:F$382)</f>
        <v>4</v>
      </c>
      <c r="T23" s="10">
        <f t="shared" si="9"/>
        <v>7</v>
      </c>
      <c r="U23" s="10">
        <f t="shared" si="10"/>
        <v>15</v>
      </c>
      <c r="V23" s="10">
        <f t="shared" si="11"/>
        <v>5</v>
      </c>
      <c r="W23" s="10">
        <f>SUMPRODUCT(('Fixtures and Results'!G$3:G$382=Setting!C23)*('Fixtures and Results'!E$3:E$382&lt;'Fixtures and Results'!F$3:F$382))</f>
        <v>3</v>
      </c>
      <c r="X23" s="10">
        <f>SUMPRODUCT(('Fixtures and Results'!G$3:G$382=Setting!C23)*('Fixtures and Results'!E$3:E$382='Fixtures and Results'!F$3:F$382)*('Fixtures and Results'!F$3:F$382&lt;&gt;""))</f>
        <v>0</v>
      </c>
      <c r="Y23" s="10">
        <f>SUMPRODUCT(('Fixtures and Results'!G$3:G$382=Setting!C23)*('Fixtures and Results'!E$3:E$382&gt;'Fixtures and Results'!F$3:F$382))</f>
        <v>2</v>
      </c>
      <c r="Z23" s="10">
        <f>SUMIF('Fixtures and Results'!G$3:G$382,Setting!C23,'Fixtures and Results'!F$3:F$382)</f>
        <v>6</v>
      </c>
      <c r="AA23" s="10">
        <f>SUMIF('Fixtures and Results'!G$3:G$382,Setting!C23,'Fixtures and Results'!E$3:E$382)</f>
        <v>7</v>
      </c>
      <c r="AB23" s="10">
        <f t="shared" si="12"/>
        <v>-1</v>
      </c>
      <c r="AC23" s="10">
        <f t="shared" si="13"/>
        <v>9</v>
      </c>
      <c r="AD23" s="10">
        <f t="shared" si="14"/>
        <v>1</v>
      </c>
      <c r="AE23" s="10">
        <f t="shared" si="15"/>
        <v>0</v>
      </c>
      <c r="AF23" s="10">
        <f t="shared" si="16"/>
        <v>0</v>
      </c>
      <c r="AG23" s="10">
        <f t="shared" si="17"/>
        <v>0</v>
      </c>
    </row>
    <row r="24" spans="2:33" ht="10.5">
      <c r="B24" s="11" t="e">
        <f>AD24+AE24+AF24+AG24</f>
        <v>#N/A</v>
      </c>
      <c r="C24" s="13">
        <f>IF('Initial Setup'!D23&lt;&gt;"",'Initial Setup'!E23,0)</f>
        <v>0</v>
      </c>
      <c r="D24" s="15">
        <f t="shared" si="18"/>
        <v>0</v>
      </c>
      <c r="E24" s="14">
        <f>COUNTIF('Fixtures and Results'!D:D,Setting!C24)+COUNTIF('Fixtures and Results'!G:G,Setting!C24)</f>
        <v>0</v>
      </c>
      <c r="F24" s="10">
        <f>G24+H24+I24</f>
        <v>0</v>
      </c>
      <c r="G24" s="10">
        <f aca="true" t="shared" si="19" ref="G24:L27">O24+W24</f>
        <v>0</v>
      </c>
      <c r="H24" s="10">
        <f t="shared" si="19"/>
        <v>0</v>
      </c>
      <c r="I24" s="10">
        <f t="shared" si="19"/>
        <v>0</v>
      </c>
      <c r="J24" s="10">
        <f t="shared" si="19"/>
        <v>0</v>
      </c>
      <c r="K24" s="10">
        <f t="shared" si="19"/>
        <v>0</v>
      </c>
      <c r="L24" s="10">
        <f t="shared" si="19"/>
        <v>0</v>
      </c>
      <c r="M24" s="10">
        <f>U24+AC24-ABS(Deduction!D23)</f>
        <v>0</v>
      </c>
      <c r="N24" s="10">
        <f>O24+P24+Q24</f>
        <v>0</v>
      </c>
      <c r="O24" s="10">
        <f>SUMPRODUCT(('Fixtures and Results'!D$3:D$382=Setting!C24)*('Fixtures and Results'!E$3:E$382&gt;'Fixtures and Results'!F$3:F$382))</f>
        <v>0</v>
      </c>
      <c r="P24" s="10">
        <f>SUMPRODUCT(('Fixtures and Results'!D$3:D$382=Setting!C24)*('Fixtures and Results'!E$3:E$382='Fixtures and Results'!F$3:F$382)*('Fixtures and Results'!E$3:E$382&lt;&gt;""))</f>
        <v>0</v>
      </c>
      <c r="Q24" s="10">
        <f>SUMPRODUCT(('Fixtures and Results'!D$3:D$382=Setting!C24)*('Fixtures and Results'!E$3:E$382&lt;'Fixtures and Results'!F$3:F$382))</f>
        <v>0</v>
      </c>
      <c r="R24" s="10">
        <f>SUMIF('Fixtures and Results'!D$3:D$382,Setting!C24,'Fixtures and Results'!E$3:E$382)</f>
        <v>0</v>
      </c>
      <c r="S24" s="10">
        <f>SUMIF('Fixtures and Results'!D$3:D$382,Setting!C24,'Fixtures and Results'!F$3:F$382)</f>
        <v>0</v>
      </c>
      <c r="T24" s="10">
        <f>R24-S24</f>
        <v>0</v>
      </c>
      <c r="U24" s="10">
        <f>O24*3+P24*1</f>
        <v>0</v>
      </c>
      <c r="V24" s="10">
        <f>W24+X24+Y24</f>
        <v>0</v>
      </c>
      <c r="W24" s="10">
        <f>SUMPRODUCT(('Fixtures and Results'!G$3:G$382=Setting!C24)*('Fixtures and Results'!E$3:E$382&lt;'Fixtures and Results'!F$3:F$382))</f>
        <v>0</v>
      </c>
      <c r="X24" s="10">
        <f>SUMPRODUCT(('Fixtures and Results'!G$3:G$382=Setting!C24)*('Fixtures and Results'!E$3:E$382='Fixtures and Results'!F$3:F$382)*('Fixtures and Results'!F$3:F$382&lt;&gt;""))</f>
        <v>0</v>
      </c>
      <c r="Y24" s="10">
        <f>SUMPRODUCT(('Fixtures and Results'!G$3:G$382=Setting!C24)*('Fixtures and Results'!E$3:E$382&gt;'Fixtures and Results'!F$3:F$382))</f>
        <v>0</v>
      </c>
      <c r="Z24" s="10">
        <f>SUMIF('Fixtures and Results'!G$3:G$382,Setting!C24,'Fixtures and Results'!F$3:F$382)</f>
        <v>0</v>
      </c>
      <c r="AA24" s="10">
        <f>SUMIF('Fixtures and Results'!G$3:G$382,Setting!C24,'Fixtures and Results'!E$3:E$382)</f>
        <v>0</v>
      </c>
      <c r="AB24" s="10">
        <f>Z24-AA24</f>
        <v>0</v>
      </c>
      <c r="AC24" s="10">
        <f>W24*3+X24*1</f>
        <v>0</v>
      </c>
      <c r="AD24" s="10" t="e">
        <f>RANK(M24,M$4:M$23)</f>
        <v>#N/A</v>
      </c>
      <c r="AE24" s="10">
        <f>SUMPRODUCT((M$4:M$23=M24)*(L$4:L$23&gt;L24))</f>
        <v>0</v>
      </c>
      <c r="AF24" s="10">
        <f>SUMPRODUCT((M$4:M$23=M24)*(L$4:L$23=L24)*(J$4:J$23&gt;J24))</f>
        <v>0</v>
      </c>
      <c r="AG24" s="10">
        <f>SUMPRODUCT((M$4:M$23=M24)*(L$4:L$23=L24)*(J$4:J$23=J24)*(D$4:D$23&gt;D24))</f>
        <v>0</v>
      </c>
    </row>
    <row r="25" spans="2:33" ht="10.5">
      <c r="B25" s="11" t="e">
        <f>AD25+AE25+AF25+AG25</f>
        <v>#N/A</v>
      </c>
      <c r="C25" s="13">
        <f>IF('Initial Setup'!D24&lt;&gt;"",'Initial Setup'!E24,0)</f>
        <v>0</v>
      </c>
      <c r="D25" s="15">
        <f t="shared" si="18"/>
        <v>-1</v>
      </c>
      <c r="E25" s="14">
        <f>COUNTIF('Fixtures and Results'!D:D,Setting!C25)+COUNTIF('Fixtures and Results'!G:G,Setting!C25)</f>
        <v>0</v>
      </c>
      <c r="F25" s="10">
        <f>G25+H25+I25</f>
        <v>0</v>
      </c>
      <c r="G25" s="10">
        <f t="shared" si="19"/>
        <v>0</v>
      </c>
      <c r="H25" s="10">
        <f t="shared" si="19"/>
        <v>0</v>
      </c>
      <c r="I25" s="10">
        <f t="shared" si="19"/>
        <v>0</v>
      </c>
      <c r="J25" s="10">
        <f t="shared" si="19"/>
        <v>0</v>
      </c>
      <c r="K25" s="10">
        <f t="shared" si="19"/>
        <v>0</v>
      </c>
      <c r="L25" s="10">
        <f t="shared" si="19"/>
        <v>0</v>
      </c>
      <c r="M25" s="10">
        <f>U25+AC25-ABS(Deduction!D24)</f>
        <v>0</v>
      </c>
      <c r="N25" s="10">
        <f>O25+P25+Q25</f>
        <v>0</v>
      </c>
      <c r="O25" s="10">
        <f>SUMPRODUCT(('Fixtures and Results'!D$3:D$382=Setting!C25)*('Fixtures and Results'!E$3:E$382&gt;'Fixtures and Results'!F$3:F$382))</f>
        <v>0</v>
      </c>
      <c r="P25" s="10">
        <f>SUMPRODUCT(('Fixtures and Results'!D$3:D$382=Setting!C25)*('Fixtures and Results'!E$3:E$382='Fixtures and Results'!F$3:F$382)*('Fixtures and Results'!E$3:E$382&lt;&gt;""))</f>
        <v>0</v>
      </c>
      <c r="Q25" s="10">
        <f>SUMPRODUCT(('Fixtures and Results'!D$3:D$382=Setting!C25)*('Fixtures and Results'!E$3:E$382&lt;'Fixtures and Results'!F$3:F$382))</f>
        <v>0</v>
      </c>
      <c r="R25" s="10">
        <f>SUMIF('Fixtures and Results'!D$3:D$382,Setting!C25,'Fixtures and Results'!E$3:E$382)</f>
        <v>0</v>
      </c>
      <c r="S25" s="10">
        <f>SUMIF('Fixtures and Results'!D$3:D$382,Setting!C25,'Fixtures and Results'!F$3:F$382)</f>
        <v>0</v>
      </c>
      <c r="T25" s="10">
        <f>R25-S25</f>
        <v>0</v>
      </c>
      <c r="U25" s="10">
        <f>O25*3+P25*1</f>
        <v>0</v>
      </c>
      <c r="V25" s="10">
        <f>W25+X25+Y25</f>
        <v>0</v>
      </c>
      <c r="W25" s="10">
        <f>SUMPRODUCT(('Fixtures and Results'!G$3:G$382=Setting!C25)*('Fixtures and Results'!E$3:E$382&lt;'Fixtures and Results'!F$3:F$382))</f>
        <v>0</v>
      </c>
      <c r="X25" s="10">
        <f>SUMPRODUCT(('Fixtures and Results'!G$3:G$382=Setting!C25)*('Fixtures and Results'!E$3:E$382='Fixtures and Results'!F$3:F$382)*('Fixtures and Results'!F$3:F$382&lt;&gt;""))</f>
        <v>0</v>
      </c>
      <c r="Y25" s="10">
        <f>SUMPRODUCT(('Fixtures and Results'!G$3:G$382=Setting!C25)*('Fixtures and Results'!E$3:E$382&gt;'Fixtures and Results'!F$3:F$382))</f>
        <v>0</v>
      </c>
      <c r="Z25" s="10">
        <f>SUMIF('Fixtures and Results'!G$3:G$382,Setting!C25,'Fixtures and Results'!F$3:F$382)</f>
        <v>0</v>
      </c>
      <c r="AA25" s="10">
        <f>SUMIF('Fixtures and Results'!G$3:G$382,Setting!C25,'Fixtures and Results'!E$3:E$382)</f>
        <v>0</v>
      </c>
      <c r="AB25" s="10">
        <f>Z25-AA25</f>
        <v>0</v>
      </c>
      <c r="AC25" s="10">
        <f>W25*3+X25*1</f>
        <v>0</v>
      </c>
      <c r="AD25" s="10" t="e">
        <f>RANK(M25,M$4:M$23)</f>
        <v>#N/A</v>
      </c>
      <c r="AE25" s="10">
        <f>SUMPRODUCT((M$4:M$23=M25)*(L$4:L$23&gt;L25))</f>
        <v>0</v>
      </c>
      <c r="AF25" s="10">
        <f>SUMPRODUCT((M$4:M$23=M25)*(L$4:L$23=L25)*(J$4:J$23&gt;J25))</f>
        <v>0</v>
      </c>
      <c r="AG25" s="10">
        <f>SUMPRODUCT((M$4:M$23=M25)*(L$4:L$23=L25)*(J$4:J$23=J25)*(D$4:D$23&gt;D25))</f>
        <v>0</v>
      </c>
    </row>
    <row r="26" spans="2:33" ht="10.5">
      <c r="B26" s="11" t="e">
        <f>AD26+AE26+AF26+AG26</f>
        <v>#N/A</v>
      </c>
      <c r="C26" s="13">
        <f>IF('Initial Setup'!D25&lt;&gt;"",'Initial Setup'!E25,0)</f>
        <v>0</v>
      </c>
      <c r="D26" s="15">
        <f t="shared" si="18"/>
        <v>-2</v>
      </c>
      <c r="E26" s="14">
        <f>COUNTIF('Fixtures and Results'!D:D,Setting!C26)+COUNTIF('Fixtures and Results'!G:G,Setting!C26)</f>
        <v>0</v>
      </c>
      <c r="F26" s="10">
        <f>G26+H26+I26</f>
        <v>0</v>
      </c>
      <c r="G26" s="10">
        <f t="shared" si="19"/>
        <v>0</v>
      </c>
      <c r="H26" s="10">
        <f t="shared" si="19"/>
        <v>0</v>
      </c>
      <c r="I26" s="10">
        <f t="shared" si="19"/>
        <v>0</v>
      </c>
      <c r="J26" s="10">
        <f t="shared" si="19"/>
        <v>0</v>
      </c>
      <c r="K26" s="10">
        <f t="shared" si="19"/>
        <v>0</v>
      </c>
      <c r="L26" s="10">
        <f t="shared" si="19"/>
        <v>0</v>
      </c>
      <c r="M26" s="10">
        <f>U26+AC26-ABS(Deduction!D25)</f>
        <v>0</v>
      </c>
      <c r="N26" s="10">
        <f>O26+P26+Q26</f>
        <v>0</v>
      </c>
      <c r="O26" s="10">
        <f>SUMPRODUCT(('Fixtures and Results'!D$3:D$382=Setting!C26)*('Fixtures and Results'!E$3:E$382&gt;'Fixtures and Results'!F$3:F$382))</f>
        <v>0</v>
      </c>
      <c r="P26" s="10">
        <f>SUMPRODUCT(('Fixtures and Results'!D$3:D$382=Setting!C26)*('Fixtures and Results'!E$3:E$382='Fixtures and Results'!F$3:F$382)*('Fixtures and Results'!E$3:E$382&lt;&gt;""))</f>
        <v>0</v>
      </c>
      <c r="Q26" s="10">
        <f>SUMPRODUCT(('Fixtures and Results'!D$3:D$382=Setting!C26)*('Fixtures and Results'!E$3:E$382&lt;'Fixtures and Results'!F$3:F$382))</f>
        <v>0</v>
      </c>
      <c r="R26" s="10">
        <f>SUMIF('Fixtures and Results'!D$3:D$382,Setting!C26,'Fixtures and Results'!E$3:E$382)</f>
        <v>0</v>
      </c>
      <c r="S26" s="10">
        <f>SUMIF('Fixtures and Results'!D$3:D$382,Setting!C26,'Fixtures and Results'!F$3:F$382)</f>
        <v>0</v>
      </c>
      <c r="T26" s="10">
        <f>R26-S26</f>
        <v>0</v>
      </c>
      <c r="U26" s="10">
        <f>O26*3+P26*1</f>
        <v>0</v>
      </c>
      <c r="V26" s="10">
        <f>W26+X26+Y26</f>
        <v>0</v>
      </c>
      <c r="W26" s="10">
        <f>SUMPRODUCT(('Fixtures and Results'!G$3:G$382=Setting!C26)*('Fixtures and Results'!E$3:E$382&lt;'Fixtures and Results'!F$3:F$382))</f>
        <v>0</v>
      </c>
      <c r="X26" s="10">
        <f>SUMPRODUCT(('Fixtures and Results'!G$3:G$382=Setting!C26)*('Fixtures and Results'!E$3:E$382='Fixtures and Results'!F$3:F$382)*('Fixtures and Results'!F$3:F$382&lt;&gt;""))</f>
        <v>0</v>
      </c>
      <c r="Y26" s="10">
        <f>SUMPRODUCT(('Fixtures and Results'!G$3:G$382=Setting!C26)*('Fixtures and Results'!E$3:E$382&gt;'Fixtures and Results'!F$3:F$382))</f>
        <v>0</v>
      </c>
      <c r="Z26" s="10">
        <f>SUMIF('Fixtures and Results'!G$3:G$382,Setting!C26,'Fixtures and Results'!F$3:F$382)</f>
        <v>0</v>
      </c>
      <c r="AA26" s="10">
        <f>SUMIF('Fixtures and Results'!G$3:G$382,Setting!C26,'Fixtures and Results'!E$3:E$382)</f>
        <v>0</v>
      </c>
      <c r="AB26" s="10">
        <f>Z26-AA26</f>
        <v>0</v>
      </c>
      <c r="AC26" s="10">
        <f>W26*3+X26*1</f>
        <v>0</v>
      </c>
      <c r="AD26" s="10" t="e">
        <f>RANK(M26,M$4:M$23)</f>
        <v>#N/A</v>
      </c>
      <c r="AE26" s="10">
        <f>SUMPRODUCT((M$4:M$23=M26)*(L$4:L$23&gt;L26))</f>
        <v>0</v>
      </c>
      <c r="AF26" s="10">
        <f>SUMPRODUCT((M$4:M$23=M26)*(L$4:L$23=L26)*(J$4:J$23&gt;J26))</f>
        <v>0</v>
      </c>
      <c r="AG26" s="10">
        <f>SUMPRODUCT((M$4:M$23=M26)*(L$4:L$23=L26)*(J$4:J$23=J26)*(D$4:D$23&gt;D26))</f>
        <v>0</v>
      </c>
    </row>
    <row r="27" spans="2:33" ht="10.5">
      <c r="B27" s="11" t="e">
        <f>AD27+AE27+AF27+AG27</f>
        <v>#N/A</v>
      </c>
      <c r="C27" s="13">
        <f>IF('Initial Setup'!D26&lt;&gt;"",'Initial Setup'!E26,0)</f>
        <v>0</v>
      </c>
      <c r="D27" s="15">
        <f t="shared" si="18"/>
        <v>-3</v>
      </c>
      <c r="E27" s="14">
        <f>COUNTIF('Fixtures and Results'!D:D,Setting!C27)+COUNTIF('Fixtures and Results'!G:G,Setting!C27)</f>
        <v>0</v>
      </c>
      <c r="F27" s="10">
        <f>G27+H27+I27</f>
        <v>0</v>
      </c>
      <c r="G27" s="10">
        <f t="shared" si="19"/>
        <v>0</v>
      </c>
      <c r="H27" s="10">
        <f t="shared" si="19"/>
        <v>0</v>
      </c>
      <c r="I27" s="10">
        <f t="shared" si="19"/>
        <v>0</v>
      </c>
      <c r="J27" s="10">
        <f t="shared" si="19"/>
        <v>0</v>
      </c>
      <c r="K27" s="10">
        <f t="shared" si="19"/>
        <v>0</v>
      </c>
      <c r="L27" s="10">
        <f t="shared" si="19"/>
        <v>0</v>
      </c>
      <c r="M27" s="10">
        <f>U27+AC27-ABS(Deduction!D26)</f>
        <v>0</v>
      </c>
      <c r="N27" s="10">
        <f>O27+P27+Q27</f>
        <v>0</v>
      </c>
      <c r="O27" s="10">
        <f>SUMPRODUCT(('Fixtures and Results'!D$3:D$382=Setting!C27)*('Fixtures and Results'!E$3:E$382&gt;'Fixtures and Results'!F$3:F$382))</f>
        <v>0</v>
      </c>
      <c r="P27" s="10">
        <f>SUMPRODUCT(('Fixtures and Results'!D$3:D$382=Setting!C27)*('Fixtures and Results'!E$3:E$382='Fixtures and Results'!F$3:F$382)*('Fixtures and Results'!E$3:E$382&lt;&gt;""))</f>
        <v>0</v>
      </c>
      <c r="Q27" s="10">
        <f>SUMPRODUCT(('Fixtures and Results'!D$3:D$382=Setting!C27)*('Fixtures and Results'!E$3:E$382&lt;'Fixtures and Results'!F$3:F$382))</f>
        <v>0</v>
      </c>
      <c r="R27" s="10">
        <f>SUMIF('Fixtures and Results'!D$3:D$382,Setting!C27,'Fixtures and Results'!E$3:E$382)</f>
        <v>0</v>
      </c>
      <c r="S27" s="10">
        <f>SUMIF('Fixtures and Results'!D$3:D$382,Setting!C27,'Fixtures and Results'!F$3:F$382)</f>
        <v>0</v>
      </c>
      <c r="T27" s="10">
        <f>R27-S27</f>
        <v>0</v>
      </c>
      <c r="U27" s="10">
        <f>O27*3+P27*1</f>
        <v>0</v>
      </c>
      <c r="V27" s="10">
        <f>W27+X27+Y27</f>
        <v>0</v>
      </c>
      <c r="W27" s="10">
        <f>SUMPRODUCT(('Fixtures and Results'!G$3:G$382=Setting!C27)*('Fixtures and Results'!E$3:E$382&lt;'Fixtures and Results'!F$3:F$382))</f>
        <v>0</v>
      </c>
      <c r="X27" s="10">
        <f>SUMPRODUCT(('Fixtures and Results'!G$3:G$382=Setting!C27)*('Fixtures and Results'!E$3:E$382='Fixtures and Results'!F$3:F$382)*('Fixtures and Results'!F$3:F$382&lt;&gt;""))</f>
        <v>0</v>
      </c>
      <c r="Y27" s="10">
        <f>SUMPRODUCT(('Fixtures and Results'!G$3:G$382=Setting!C27)*('Fixtures and Results'!E$3:E$382&gt;'Fixtures and Results'!F$3:F$382))</f>
        <v>0</v>
      </c>
      <c r="Z27" s="10">
        <f>SUMIF('Fixtures and Results'!G$3:G$382,Setting!C27,'Fixtures and Results'!F$3:F$382)</f>
        <v>0</v>
      </c>
      <c r="AA27" s="10">
        <f>SUMIF('Fixtures and Results'!G$3:G$382,Setting!C27,'Fixtures and Results'!E$3:E$382)</f>
        <v>0</v>
      </c>
      <c r="AB27" s="10">
        <f>Z27-AA27</f>
        <v>0</v>
      </c>
      <c r="AC27" s="10">
        <f>W27*3+X27*1</f>
        <v>0</v>
      </c>
      <c r="AD27" s="10" t="e">
        <f>RANK(M27,M$4:M$23)</f>
        <v>#N/A</v>
      </c>
      <c r="AE27" s="10">
        <f>SUMPRODUCT((M$4:M$23=M27)*(L$4:L$23&gt;L27))</f>
        <v>0</v>
      </c>
      <c r="AF27" s="10">
        <f>SUMPRODUCT((M$4:M$23=M27)*(L$4:L$23=L27)*(J$4:J$23&gt;J27))</f>
        <v>0</v>
      </c>
      <c r="AG27" s="10">
        <f>SUMPRODUCT((M$4:M$23=M27)*(L$4:L$23=L27)*(J$4:J$23=J27)*(D$4:D$23&gt;D27))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6"/>
  <sheetViews>
    <sheetView showGridLines="0" zoomScalePageLayoutView="0" workbookViewId="0" topLeftCell="A1">
      <selection activeCell="I25" sqref="I25"/>
    </sheetView>
  </sheetViews>
  <sheetFormatPr defaultColWidth="9.140625" defaultRowHeight="15" customHeight="1"/>
  <cols>
    <col min="1" max="1" width="9.140625" style="8" customWidth="1"/>
    <col min="2" max="2" width="3.8515625" style="9" customWidth="1"/>
    <col min="3" max="3" width="16.8515625" style="8" bestFit="1" customWidth="1"/>
    <col min="4" max="4" width="12.140625" style="8" customWidth="1"/>
    <col min="5" max="16384" width="9.140625" style="8" customWidth="1"/>
  </cols>
  <sheetData>
    <row r="2" spans="2:4" ht="15" customHeight="1">
      <c r="B2" s="47" t="s">
        <v>33</v>
      </c>
      <c r="C2" s="47" t="s">
        <v>4</v>
      </c>
      <c r="D2" s="47" t="s">
        <v>32</v>
      </c>
    </row>
    <row r="3" spans="2:4" ht="15" customHeight="1">
      <c r="B3" s="48">
        <f>'Initial Setup'!D3</f>
        <v>1</v>
      </c>
      <c r="C3" s="46" t="str">
        <f>IF(B3&lt;&gt;"",'Initial Setup'!E3,"")</f>
        <v>AC Milan</v>
      </c>
      <c r="D3" s="49"/>
    </row>
    <row r="4" spans="2:4" ht="15" customHeight="1">
      <c r="B4" s="48">
        <f>'Initial Setup'!D4</f>
        <v>2</v>
      </c>
      <c r="C4" s="46" t="str">
        <f>IF(B4&lt;&gt;"",'Initial Setup'!E4,"")</f>
        <v>Inter Milan</v>
      </c>
      <c r="D4" s="49"/>
    </row>
    <row r="5" spans="2:4" ht="15" customHeight="1">
      <c r="B5" s="48">
        <f>'Initial Setup'!D5</f>
        <v>3</v>
      </c>
      <c r="C5" s="46" t="str">
        <f>IF(B5&lt;&gt;"",'Initial Setup'!E5,"")</f>
        <v>Juventus</v>
      </c>
      <c r="D5" s="49"/>
    </row>
    <row r="6" spans="2:4" ht="15" customHeight="1">
      <c r="B6" s="48">
        <f>'Initial Setup'!D6</f>
        <v>4</v>
      </c>
      <c r="C6" s="46" t="str">
        <f>IF(B6&lt;&gt;"",'Initial Setup'!E6,"")</f>
        <v>AS Roma</v>
      </c>
      <c r="D6" s="49"/>
    </row>
    <row r="7" spans="2:4" ht="15" customHeight="1">
      <c r="B7" s="48">
        <f>'Initial Setup'!D7</f>
        <v>5</v>
      </c>
      <c r="C7" s="46" t="str">
        <f>IF(B7&lt;&gt;"",'Initial Setup'!E7,"")</f>
        <v>Manchester United</v>
      </c>
      <c r="D7" s="49"/>
    </row>
    <row r="8" spans="2:4" ht="15" customHeight="1">
      <c r="B8" s="48">
        <f>'Initial Setup'!D8</f>
        <v>6</v>
      </c>
      <c r="C8" s="46" t="str">
        <f>IF(B8&lt;&gt;"",'Initial Setup'!E8,"")</f>
        <v>Chelsea</v>
      </c>
      <c r="D8" s="49"/>
    </row>
    <row r="9" spans="2:4" ht="15" customHeight="1">
      <c r="B9" s="48">
        <f>'Initial Setup'!D9</f>
        <v>7</v>
      </c>
      <c r="C9" s="46" t="str">
        <f>IF(B9&lt;&gt;"",'Initial Setup'!E9,"")</f>
        <v>Arsenal</v>
      </c>
      <c r="D9" s="49"/>
    </row>
    <row r="10" spans="2:4" ht="15" customHeight="1">
      <c r="B10" s="48">
        <f>'Initial Setup'!D10</f>
        <v>8</v>
      </c>
      <c r="C10" s="46" t="str">
        <f>IF(B10&lt;&gt;"",'Initial Setup'!E10,"")</f>
        <v>Liverpool</v>
      </c>
      <c r="D10" s="49"/>
    </row>
    <row r="11" spans="2:4" ht="15" customHeight="1">
      <c r="B11" s="48">
        <f>'Initial Setup'!D11</f>
        <v>9</v>
      </c>
      <c r="C11" s="46" t="str">
        <f>IF(B11&lt;&gt;"",'Initial Setup'!E11,"")</f>
        <v>Barcelona</v>
      </c>
      <c r="D11" s="49"/>
    </row>
    <row r="12" spans="2:4" ht="15" customHeight="1">
      <c r="B12" s="48">
        <f>'Initial Setup'!D12</f>
        <v>10</v>
      </c>
      <c r="C12" s="46" t="str">
        <f>IF(B12&lt;&gt;"",'Initial Setup'!E12,"")</f>
        <v>Real Madrid</v>
      </c>
      <c r="D12" s="49"/>
    </row>
    <row r="13" spans="2:4" ht="15" customHeight="1">
      <c r="B13" s="48">
        <f>'Initial Setup'!D13</f>
        <v>11</v>
      </c>
      <c r="C13" s="46" t="str">
        <f>IF(B13&lt;&gt;"",'Initial Setup'!E13,"")</f>
        <v>Valencia</v>
      </c>
      <c r="D13" s="49"/>
    </row>
    <row r="14" spans="2:4" ht="15" customHeight="1">
      <c r="B14" s="48">
        <f>'Initial Setup'!D14</f>
        <v>12</v>
      </c>
      <c r="C14" s="46" t="str">
        <f>IF(B14&lt;&gt;"",'Initial Setup'!E14,"")</f>
        <v>Villareal</v>
      </c>
      <c r="D14" s="49"/>
    </row>
    <row r="15" spans="2:4" ht="15" customHeight="1">
      <c r="B15" s="48">
        <f>'Initial Setup'!D15</f>
        <v>13</v>
      </c>
      <c r="C15" s="46" t="str">
        <f>IF(B15&lt;&gt;"",'Initial Setup'!E15,"")</f>
        <v>Bayern Munich</v>
      </c>
      <c r="D15" s="49"/>
    </row>
    <row r="16" spans="2:4" ht="15" customHeight="1">
      <c r="B16" s="48">
        <f>'Initial Setup'!D16</f>
        <v>14</v>
      </c>
      <c r="C16" s="46" t="str">
        <f>IF(B16&lt;&gt;"",'Initial Setup'!E16,"")</f>
        <v>Ajax Amsterdam</v>
      </c>
      <c r="D16" s="49"/>
    </row>
    <row r="17" spans="2:4" ht="15" customHeight="1">
      <c r="B17" s="48">
        <f>'Initial Setup'!D17</f>
        <v>15</v>
      </c>
      <c r="C17" s="46" t="str">
        <f>IF(B17&lt;&gt;"",'Initial Setup'!E17,"")</f>
        <v>PSV Eindhoven</v>
      </c>
      <c r="D17" s="49"/>
    </row>
    <row r="18" spans="2:4" ht="15" customHeight="1">
      <c r="B18" s="48">
        <f>'Initial Setup'!D18</f>
        <v>16</v>
      </c>
      <c r="C18" s="46" t="str">
        <f>IF(B18&lt;&gt;"",'Initial Setup'!E18,"")</f>
        <v>Lyon</v>
      </c>
      <c r="D18" s="49"/>
    </row>
    <row r="19" spans="2:4" ht="15" customHeight="1">
      <c r="B19" s="48">
        <f>'Initial Setup'!D19</f>
        <v>17</v>
      </c>
      <c r="C19" s="46" t="str">
        <f>IF(B19&lt;&gt;"",'Initial Setup'!E19,"")</f>
        <v>Olympiakos</v>
      </c>
      <c r="D19" s="49"/>
    </row>
    <row r="20" spans="2:4" ht="15" customHeight="1">
      <c r="B20" s="48">
        <f>'Initial Setup'!D20</f>
        <v>18</v>
      </c>
      <c r="C20" s="46" t="str">
        <f>IF(B20&lt;&gt;"",'Initial Setup'!E20,"")</f>
        <v>Marseille</v>
      </c>
      <c r="D20" s="49"/>
    </row>
    <row r="21" spans="2:4" ht="15" customHeight="1">
      <c r="B21" s="48">
        <f>'Initial Setup'!D21</f>
        <v>19</v>
      </c>
      <c r="C21" s="46" t="str">
        <f>IF(B21&lt;&gt;"",'Initial Setup'!E21,"")</f>
        <v>Glasgow Celtic</v>
      </c>
      <c r="D21" s="49"/>
    </row>
    <row r="22" spans="2:4" ht="15" customHeight="1">
      <c r="B22" s="48">
        <f>'Initial Setup'!D22</f>
        <v>20</v>
      </c>
      <c r="C22" s="46" t="str">
        <f>IF(B22&lt;&gt;"",'Initial Setup'!E22,"")</f>
        <v>Glasgow Ranger</v>
      </c>
      <c r="D22" s="49"/>
    </row>
    <row r="23" spans="2:4" ht="15" customHeight="1">
      <c r="B23" s="48">
        <f>'Initial Setup'!D23</f>
      </c>
      <c r="C23" s="46">
        <f>IF(B23&lt;&gt;"",'Initial Setup'!E23,"")</f>
      </c>
      <c r="D23" s="49"/>
    </row>
    <row r="24" spans="2:4" ht="15" customHeight="1">
      <c r="B24" s="48">
        <f>'Initial Setup'!D24</f>
      </c>
      <c r="C24" s="46">
        <f>IF(B24&lt;&gt;"",'Initial Setup'!E24,"")</f>
      </c>
      <c r="D24" s="49"/>
    </row>
    <row r="25" spans="2:4" ht="15" customHeight="1">
      <c r="B25" s="48">
        <f>'Initial Setup'!D25</f>
      </c>
      <c r="C25" s="46">
        <f>IF(B25&lt;&gt;"",'Initial Setup'!E25,"")</f>
      </c>
      <c r="D25" s="49"/>
    </row>
    <row r="26" spans="2:4" ht="15" customHeight="1">
      <c r="B26" s="48">
        <f>'Initial Setup'!D26</f>
      </c>
      <c r="C26" s="46">
        <f>IF(B26&lt;&gt;"",'Initial Setup'!E26,"")</f>
      </c>
      <c r="D26" s="49"/>
    </row>
  </sheetData>
  <sheetProtection/>
  <conditionalFormatting sqref="B3:C26">
    <cfRule type="expression" priority="1" dxfId="9" stopIfTrue="1">
      <formula>$B3&lt;&gt;""</formula>
    </cfRule>
  </conditionalFormatting>
  <conditionalFormatting sqref="D3:D26">
    <cfRule type="expression" priority="2" dxfId="11" stopIfTrue="1">
      <formula>$B3&lt;&gt;""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Julia Sullivan</cp:lastModifiedBy>
  <cp:lastPrinted>2008-06-25T02:15:02Z</cp:lastPrinted>
  <dcterms:created xsi:type="dcterms:W3CDTF">2008-06-14T05:50:19Z</dcterms:created>
  <dcterms:modified xsi:type="dcterms:W3CDTF">2013-02-19T17:47:32Z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